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Juraj Romac\Šestanovac\Općina\Proračun\"/>
    </mc:Choice>
  </mc:AlternateContent>
  <xr:revisionPtr revIDLastSave="0" documentId="13_ncr:1_{80CB912A-9AC5-4561-A900-877B6D53EBE9}" xr6:coauthVersionLast="47" xr6:coauthVersionMax="47" xr10:uidLastSave="{00000000-0000-0000-0000-000000000000}"/>
  <bookViews>
    <workbookView xWindow="-108" yWindow="-108" windowWidth="23256" windowHeight="12456" tabRatio="828" xr2:uid="{6F31E4F4-E7D7-4ACB-8249-5215484D96C8}"/>
  </bookViews>
  <sheets>
    <sheet name="Sažetak" sheetId="9" r:id="rId1"/>
    <sheet name="Ekonomska klasifikacija i izvor" sheetId="1" r:id="rId2"/>
    <sheet name="Programska klasifikacija" sheetId="4" r:id="rId3"/>
    <sheet name="Račun financiranja" sheetId="8" r:id="rId4"/>
    <sheet name="Funkcijska klasifikacija" sheetId="3" r:id="rId5"/>
    <sheet name="Posebni dio" sheetId="2" r:id="rId6"/>
  </sheets>
  <definedNames>
    <definedName name="_xlnm._FilterDatabase" localSheetId="5" hidden="1">'Posebni dio'!$A$11:$N$237</definedName>
    <definedName name="_xlnm._FilterDatabase" localSheetId="2" hidden="1">'Programska klasifikacija'!$A$1:$J$114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L59" i="1"/>
  <c r="J59" i="1"/>
  <c r="K60" i="1"/>
  <c r="I60" i="1"/>
  <c r="G60" i="1"/>
  <c r="F60" i="1"/>
  <c r="E60" i="1"/>
  <c r="H94" i="4"/>
  <c r="I92" i="4"/>
  <c r="G92" i="4"/>
  <c r="E92" i="4"/>
  <c r="D92" i="4"/>
  <c r="C92" i="4"/>
  <c r="L199" i="2"/>
  <c r="M198" i="2"/>
  <c r="K198" i="2"/>
  <c r="I198" i="2"/>
  <c r="H198" i="2"/>
  <c r="G198" i="2"/>
  <c r="I105" i="4"/>
  <c r="G105" i="4"/>
  <c r="E105" i="4"/>
  <c r="D105" i="4"/>
  <c r="C105" i="4"/>
  <c r="J112" i="4"/>
  <c r="H112" i="4"/>
  <c r="N232" i="2"/>
  <c r="L232" i="2"/>
  <c r="M231" i="2"/>
  <c r="K231" i="2"/>
  <c r="I231" i="2"/>
  <c r="H231" i="2"/>
  <c r="G231" i="2"/>
  <c r="L198" i="2" l="1"/>
  <c r="L231" i="2"/>
  <c r="N231" i="2"/>
  <c r="F44" i="1"/>
  <c r="E67" i="1" l="1"/>
  <c r="I113" i="4" l="1"/>
  <c r="G113" i="4"/>
  <c r="E113" i="4"/>
  <c r="D113" i="4"/>
  <c r="C113" i="4"/>
  <c r="K152" i="2"/>
  <c r="J114" i="4"/>
  <c r="H114" i="4"/>
  <c r="K225" i="2"/>
  <c r="K165" i="2"/>
  <c r="M125" i="2"/>
  <c r="F89" i="4"/>
  <c r="F71" i="4"/>
  <c r="F61" i="4"/>
  <c r="F59" i="4"/>
  <c r="F52" i="4"/>
  <c r="F48" i="4"/>
  <c r="F43" i="4"/>
  <c r="F42" i="4"/>
  <c r="F8" i="4"/>
  <c r="N181" i="2"/>
  <c r="L181" i="2"/>
  <c r="L135" i="2"/>
  <c r="K27" i="2"/>
  <c r="L27" i="2" s="1"/>
  <c r="N25" i="2"/>
  <c r="N24" i="2"/>
  <c r="L23" i="2"/>
  <c r="L18" i="2"/>
  <c r="L31" i="2"/>
  <c r="L33" i="2"/>
  <c r="L35" i="2"/>
  <c r="L37" i="2"/>
  <c r="L45" i="2"/>
  <c r="L46" i="2"/>
  <c r="L48" i="2"/>
  <c r="L50" i="2"/>
  <c r="L52" i="2"/>
  <c r="L54" i="2"/>
  <c r="L56" i="2"/>
  <c r="L57" i="2"/>
  <c r="L60" i="2"/>
  <c r="L64" i="2"/>
  <c r="L66" i="2"/>
  <c r="L68" i="2"/>
  <c r="L70" i="2"/>
  <c r="L72" i="2"/>
  <c r="L74" i="2"/>
  <c r="L76" i="2"/>
  <c r="L78" i="2"/>
  <c r="L80" i="2"/>
  <c r="L82" i="2"/>
  <c r="L85" i="2"/>
  <c r="L86" i="2"/>
  <c r="L88" i="2"/>
  <c r="L89" i="2"/>
  <c r="L92" i="2"/>
  <c r="L94" i="2"/>
  <c r="L96" i="2"/>
  <c r="L98" i="2"/>
  <c r="L102" i="2"/>
  <c r="L104" i="2"/>
  <c r="L107" i="2"/>
  <c r="L109" i="2"/>
  <c r="L111" i="2"/>
  <c r="L113" i="2"/>
  <c r="L116" i="2"/>
  <c r="L118" i="2"/>
  <c r="L120" i="2"/>
  <c r="L122" i="2"/>
  <c r="L124" i="2"/>
  <c r="L126" i="2"/>
  <c r="L129" i="2"/>
  <c r="L131" i="2"/>
  <c r="L132" i="2"/>
  <c r="L134" i="2"/>
  <c r="L137" i="2"/>
  <c r="L139" i="2"/>
  <c r="L142" i="2"/>
  <c r="L144" i="2"/>
  <c r="L146" i="2"/>
  <c r="L148" i="2"/>
  <c r="L151" i="2"/>
  <c r="L153" i="2"/>
  <c r="L155" i="2"/>
  <c r="L157" i="2"/>
  <c r="L160" i="2"/>
  <c r="L162" i="2"/>
  <c r="L164" i="2"/>
  <c r="L166" i="2"/>
  <c r="L170" i="2"/>
  <c r="L172" i="2"/>
  <c r="L174" i="2"/>
  <c r="L176" i="2"/>
  <c r="L178" i="2"/>
  <c r="L180" i="2"/>
  <c r="L184" i="2"/>
  <c r="L188" i="2"/>
  <c r="L190" i="2"/>
  <c r="L192" i="2"/>
  <c r="L194" i="2"/>
  <c r="L197" i="2"/>
  <c r="L202" i="2"/>
  <c r="L204" i="2"/>
  <c r="L207" i="2"/>
  <c r="L209" i="2"/>
  <c r="L211" i="2"/>
  <c r="L213" i="2"/>
  <c r="L215" i="2"/>
  <c r="L217" i="2"/>
  <c r="L220" i="2"/>
  <c r="L222" i="2"/>
  <c r="L224" i="2"/>
  <c r="L226" i="2"/>
  <c r="L228" i="2"/>
  <c r="L230" i="2"/>
  <c r="L235" i="2"/>
  <c r="N18" i="2"/>
  <c r="N31" i="2"/>
  <c r="N33" i="2"/>
  <c r="N35" i="2"/>
  <c r="N37" i="2"/>
  <c r="N45" i="2"/>
  <c r="N46" i="2"/>
  <c r="N48" i="2"/>
  <c r="N50" i="2"/>
  <c r="N52" i="2"/>
  <c r="N54" i="2"/>
  <c r="N57" i="2"/>
  <c r="N60" i="2"/>
  <c r="N64" i="2"/>
  <c r="N66" i="2"/>
  <c r="N68" i="2"/>
  <c r="N70" i="2"/>
  <c r="N72" i="2"/>
  <c r="N74" i="2"/>
  <c r="N76" i="2"/>
  <c r="N78" i="2"/>
  <c r="N80" i="2"/>
  <c r="N82" i="2"/>
  <c r="N85" i="2"/>
  <c r="N86" i="2"/>
  <c r="N88" i="2"/>
  <c r="N89" i="2"/>
  <c r="N92" i="2"/>
  <c r="N94" i="2"/>
  <c r="N96" i="2"/>
  <c r="N98" i="2"/>
  <c r="N104" i="2"/>
  <c r="N107" i="2"/>
  <c r="N109" i="2"/>
  <c r="N111" i="2"/>
  <c r="N113" i="2"/>
  <c r="N116" i="2"/>
  <c r="N118" i="2"/>
  <c r="N120" i="2"/>
  <c r="N122" i="2"/>
  <c r="N124" i="2"/>
  <c r="N126" i="2"/>
  <c r="N129" i="2"/>
  <c r="N131" i="2"/>
  <c r="N132" i="2"/>
  <c r="N134" i="2"/>
  <c r="N135" i="2"/>
  <c r="N137" i="2"/>
  <c r="N139" i="2"/>
  <c r="N142" i="2"/>
  <c r="N144" i="2"/>
  <c r="N146" i="2"/>
  <c r="N148" i="2"/>
  <c r="N151" i="2"/>
  <c r="N153" i="2"/>
  <c r="N155" i="2"/>
  <c r="N157" i="2"/>
  <c r="N160" i="2"/>
  <c r="N162" i="2"/>
  <c r="N164" i="2"/>
  <c r="N166" i="2"/>
  <c r="N170" i="2"/>
  <c r="N172" i="2"/>
  <c r="N174" i="2"/>
  <c r="N176" i="2"/>
  <c r="N178" i="2"/>
  <c r="N180" i="2"/>
  <c r="N184" i="2"/>
  <c r="N188" i="2"/>
  <c r="N190" i="2"/>
  <c r="N192" i="2"/>
  <c r="N194" i="2"/>
  <c r="N197" i="2"/>
  <c r="N202" i="2"/>
  <c r="N204" i="2"/>
  <c r="N207" i="2"/>
  <c r="N209" i="2"/>
  <c r="N211" i="2"/>
  <c r="N213" i="2"/>
  <c r="N215" i="2"/>
  <c r="N217" i="2"/>
  <c r="N220" i="2"/>
  <c r="N222" i="2"/>
  <c r="N224" i="2"/>
  <c r="N226" i="2"/>
  <c r="N228" i="2"/>
  <c r="N230" i="2"/>
  <c r="N235" i="2"/>
  <c r="J230" i="2"/>
  <c r="J228" i="2"/>
  <c r="J226" i="2"/>
  <c r="J224" i="2"/>
  <c r="J222" i="2"/>
  <c r="J220" i="2"/>
  <c r="J217" i="2"/>
  <c r="J215" i="2"/>
  <c r="J213" i="2"/>
  <c r="J211" i="2"/>
  <c r="J209" i="2"/>
  <c r="J207" i="2"/>
  <c r="J204" i="2"/>
  <c r="J202" i="2"/>
  <c r="J197" i="2"/>
  <c r="J194" i="2"/>
  <c r="J192" i="2"/>
  <c r="J190" i="2"/>
  <c r="J188" i="2"/>
  <c r="J186" i="2"/>
  <c r="J184" i="2"/>
  <c r="J181" i="2"/>
  <c r="J180" i="2"/>
  <c r="J178" i="2"/>
  <c r="J176" i="2"/>
  <c r="J174" i="2"/>
  <c r="J172" i="2"/>
  <c r="J170" i="2"/>
  <c r="J166" i="2"/>
  <c r="J164" i="2"/>
  <c r="J162" i="2"/>
  <c r="J160" i="2"/>
  <c r="J157" i="2"/>
  <c r="J155" i="2"/>
  <c r="J151" i="2"/>
  <c r="J148" i="2"/>
  <c r="J146" i="2"/>
  <c r="J144" i="2"/>
  <c r="J142" i="2"/>
  <c r="J139" i="2"/>
  <c r="J137" i="2"/>
  <c r="J118" i="2"/>
  <c r="J100" i="2"/>
  <c r="J89" i="2"/>
  <c r="I133" i="2"/>
  <c r="J132" i="2"/>
  <c r="J131" i="2"/>
  <c r="J111" i="2"/>
  <c r="M106" i="2"/>
  <c r="K106" i="2"/>
  <c r="I106" i="2"/>
  <c r="H106" i="2"/>
  <c r="G106" i="2"/>
  <c r="D5" i="4"/>
  <c r="H219" i="2"/>
  <c r="H229" i="2"/>
  <c r="H227" i="2"/>
  <c r="H225" i="2"/>
  <c r="H223" i="2"/>
  <c r="H221" i="2"/>
  <c r="H216" i="2"/>
  <c r="H214" i="2"/>
  <c r="H212" i="2"/>
  <c r="H210" i="2"/>
  <c r="H208" i="2"/>
  <c r="H206" i="2"/>
  <c r="H203" i="2"/>
  <c r="H201" i="2"/>
  <c r="H196" i="2"/>
  <c r="H193" i="2"/>
  <c r="H191" i="2"/>
  <c r="H189" i="2"/>
  <c r="H187" i="2"/>
  <c r="H185" i="2"/>
  <c r="H183" i="2"/>
  <c r="H179" i="2"/>
  <c r="H177" i="2"/>
  <c r="H175" i="2"/>
  <c r="H173" i="2"/>
  <c r="H171" i="2"/>
  <c r="H169" i="2"/>
  <c r="H167" i="2"/>
  <c r="H165" i="2"/>
  <c r="H163" i="2"/>
  <c r="H161" i="2"/>
  <c r="H159" i="2"/>
  <c r="H156" i="2"/>
  <c r="H154" i="2"/>
  <c r="H152" i="2"/>
  <c r="H150" i="2"/>
  <c r="H147" i="2"/>
  <c r="H145" i="2"/>
  <c r="H143" i="2"/>
  <c r="H141" i="2"/>
  <c r="H138" i="2"/>
  <c r="H136" i="2"/>
  <c r="H133" i="2"/>
  <c r="H130" i="2"/>
  <c r="H128" i="2"/>
  <c r="H125" i="2"/>
  <c r="H123" i="2"/>
  <c r="H121" i="2"/>
  <c r="H119" i="2"/>
  <c r="H117" i="2"/>
  <c r="H115" i="2"/>
  <c r="H112" i="2"/>
  <c r="H110" i="2"/>
  <c r="H108" i="2"/>
  <c r="H103" i="2"/>
  <c r="H101" i="2"/>
  <c r="H99" i="2"/>
  <c r="H97" i="2"/>
  <c r="H95" i="2"/>
  <c r="H93" i="2"/>
  <c r="H91" i="2"/>
  <c r="H87" i="2"/>
  <c r="H84" i="2"/>
  <c r="H81" i="2"/>
  <c r="H79" i="2"/>
  <c r="H77" i="2"/>
  <c r="H75" i="2"/>
  <c r="H73" i="2"/>
  <c r="H71" i="2"/>
  <c r="H69" i="2"/>
  <c r="H67" i="2"/>
  <c r="H65" i="2"/>
  <c r="H63" i="2"/>
  <c r="H61" i="2"/>
  <c r="H59" i="2"/>
  <c r="H55" i="2"/>
  <c r="H53" i="2"/>
  <c r="H51" i="2"/>
  <c r="H49" i="2"/>
  <c r="H47" i="2"/>
  <c r="H44" i="2"/>
  <c r="H41" i="2"/>
  <c r="H38" i="2"/>
  <c r="H36" i="2"/>
  <c r="H34" i="2"/>
  <c r="H32" i="2"/>
  <c r="H30" i="2"/>
  <c r="H22" i="2"/>
  <c r="H17" i="2"/>
  <c r="H16" i="2" s="1"/>
  <c r="C22" i="9"/>
  <c r="C37" i="4"/>
  <c r="F58" i="1"/>
  <c r="F29" i="1"/>
  <c r="E34" i="1"/>
  <c r="E31" i="1"/>
  <c r="G31" i="1"/>
  <c r="K31" i="1"/>
  <c r="I31" i="1"/>
  <c r="F31" i="1"/>
  <c r="E23" i="1"/>
  <c r="E19" i="1"/>
  <c r="D25" i="9"/>
  <c r="D22" i="9"/>
  <c r="H195" i="2" l="1"/>
  <c r="C21" i="3" s="1"/>
  <c r="H113" i="4"/>
  <c r="J113" i="4"/>
  <c r="H218" i="2"/>
  <c r="C27" i="3" s="1"/>
  <c r="H205" i="2"/>
  <c r="C25" i="3" s="1"/>
  <c r="N27" i="2"/>
  <c r="H182" i="2"/>
  <c r="C20" i="3" s="1"/>
  <c r="H140" i="2"/>
  <c r="C14" i="3" s="1"/>
  <c r="N23" i="2"/>
  <c r="L24" i="2"/>
  <c r="L25" i="2"/>
  <c r="L106" i="2"/>
  <c r="N106" i="2"/>
  <c r="H200" i="2"/>
  <c r="C22" i="3" s="1"/>
  <c r="H105" i="2"/>
  <c r="C11" i="3" s="1"/>
  <c r="H83" i="2"/>
  <c r="H90" i="2"/>
  <c r="C10" i="3" s="1"/>
  <c r="H149" i="2"/>
  <c r="C18" i="3" s="1"/>
  <c r="H58" i="2"/>
  <c r="C8" i="3" s="1"/>
  <c r="H158" i="2"/>
  <c r="C16" i="3" s="1"/>
  <c r="H114" i="2"/>
  <c r="C12" i="3" s="1"/>
  <c r="H127" i="2"/>
  <c r="C13" i="3" s="1"/>
  <c r="D28" i="9"/>
  <c r="K133" i="2" l="1"/>
  <c r="L133" i="2" s="1"/>
  <c r="G133" i="2"/>
  <c r="M234" i="2"/>
  <c r="K234" i="2"/>
  <c r="I234" i="2"/>
  <c r="H234" i="2"/>
  <c r="H233" i="2" s="1"/>
  <c r="C23" i="3" s="1"/>
  <c r="C19" i="3" s="1"/>
  <c r="G234" i="2"/>
  <c r="G233" i="2" s="1"/>
  <c r="B23" i="3" s="1"/>
  <c r="K62" i="2"/>
  <c r="J56" i="2"/>
  <c r="K233" i="2" l="1"/>
  <c r="L234" i="2"/>
  <c r="N234" i="2"/>
  <c r="L62" i="2"/>
  <c r="N62" i="2"/>
  <c r="M233" i="2"/>
  <c r="H23" i="3" s="1"/>
  <c r="O16" i="1"/>
  <c r="F23" i="3" l="1"/>
  <c r="N233" i="2"/>
  <c r="C5" i="4"/>
  <c r="C98" i="4"/>
  <c r="C95" i="4"/>
  <c r="C85" i="4"/>
  <c r="C73" i="4"/>
  <c r="C68" i="4"/>
  <c r="C63" i="4"/>
  <c r="C57" i="4"/>
  <c r="C50" i="4"/>
  <c r="C45" i="4"/>
  <c r="C34" i="4"/>
  <c r="C21" i="4"/>
  <c r="C3" i="4"/>
  <c r="G22" i="2"/>
  <c r="G41" i="2"/>
  <c r="G38" i="2"/>
  <c r="G229" i="2"/>
  <c r="G227" i="2"/>
  <c r="G225" i="2"/>
  <c r="G223" i="2"/>
  <c r="G221" i="2"/>
  <c r="G219" i="2"/>
  <c r="G216" i="2"/>
  <c r="G214" i="2"/>
  <c r="G212" i="2"/>
  <c r="G210" i="2"/>
  <c r="G208" i="2"/>
  <c r="G206" i="2"/>
  <c r="G203" i="2"/>
  <c r="G201" i="2"/>
  <c r="G196" i="2"/>
  <c r="G193" i="2"/>
  <c r="G191" i="2"/>
  <c r="G189" i="2"/>
  <c r="G187" i="2"/>
  <c r="G185" i="2"/>
  <c r="G183" i="2"/>
  <c r="G179" i="2"/>
  <c r="G177" i="2"/>
  <c r="G175" i="2"/>
  <c r="G173" i="2"/>
  <c r="G171" i="2"/>
  <c r="G169" i="2"/>
  <c r="G167" i="2"/>
  <c r="G165" i="2"/>
  <c r="G163" i="2"/>
  <c r="G161" i="2"/>
  <c r="G159" i="2"/>
  <c r="G156" i="2"/>
  <c r="G154" i="2"/>
  <c r="G152" i="2"/>
  <c r="G150" i="2"/>
  <c r="G147" i="2"/>
  <c r="G145" i="2"/>
  <c r="G143" i="2"/>
  <c r="G141" i="2"/>
  <c r="G138" i="2"/>
  <c r="G136" i="2"/>
  <c r="G130" i="2"/>
  <c r="G128" i="2" s="1"/>
  <c r="G125" i="2"/>
  <c r="G123" i="2"/>
  <c r="G121" i="2"/>
  <c r="G119" i="2"/>
  <c r="G117" i="2"/>
  <c r="G115" i="2"/>
  <c r="G112" i="2"/>
  <c r="G110" i="2"/>
  <c r="G108" i="2"/>
  <c r="G103" i="2"/>
  <c r="G101" i="2"/>
  <c r="G99" i="2"/>
  <c r="G97" i="2"/>
  <c r="G95" i="2"/>
  <c r="G93" i="2"/>
  <c r="G91" i="2"/>
  <c r="G87" i="2"/>
  <c r="G84" i="2"/>
  <c r="G81" i="2"/>
  <c r="G79" i="2"/>
  <c r="G77" i="2"/>
  <c r="G75" i="2"/>
  <c r="G73" i="2"/>
  <c r="G71" i="2"/>
  <c r="G69" i="2"/>
  <c r="G67" i="2"/>
  <c r="G65" i="2"/>
  <c r="G63" i="2"/>
  <c r="G61" i="2"/>
  <c r="G59" i="2"/>
  <c r="G55" i="2"/>
  <c r="G53" i="2"/>
  <c r="G51" i="2"/>
  <c r="G49" i="2"/>
  <c r="G47" i="2"/>
  <c r="G44" i="2"/>
  <c r="G36" i="2"/>
  <c r="G34" i="2"/>
  <c r="G32" i="2"/>
  <c r="G30" i="2"/>
  <c r="G28" i="2"/>
  <c r="G26" i="2"/>
  <c r="G195" i="2" l="1"/>
  <c r="B21" i="3" s="1"/>
  <c r="G218" i="2"/>
  <c r="B27" i="3" s="1"/>
  <c r="B26" i="3" s="1"/>
  <c r="G182" i="2"/>
  <c r="B20" i="3" s="1"/>
  <c r="I23" i="3"/>
  <c r="G205" i="2"/>
  <c r="B25" i="3" s="1"/>
  <c r="B24" i="3" s="1"/>
  <c r="G140" i="2"/>
  <c r="B14" i="3" s="1"/>
  <c r="G83" i="2"/>
  <c r="G114" i="2"/>
  <c r="B12" i="3" s="1"/>
  <c r="G127" i="2"/>
  <c r="B13" i="3" s="1"/>
  <c r="G149" i="2"/>
  <c r="B18" i="3" s="1"/>
  <c r="B17" i="3" s="1"/>
  <c r="G200" i="2"/>
  <c r="B22" i="3" s="1"/>
  <c r="G58" i="2"/>
  <c r="B8" i="3" s="1"/>
  <c r="B7" i="3" s="1"/>
  <c r="G158" i="2"/>
  <c r="B16" i="3" s="1"/>
  <c r="B15" i="3" s="1"/>
  <c r="G105" i="2"/>
  <c r="B11" i="3" s="1"/>
  <c r="G90" i="2"/>
  <c r="B10" i="3" s="1"/>
  <c r="G21" i="2"/>
  <c r="G15" i="2"/>
  <c r="B19" i="3" l="1"/>
  <c r="B9" i="3"/>
  <c r="G20" i="2"/>
  <c r="G237" i="2" s="1"/>
  <c r="E64" i="1" l="1"/>
  <c r="E55" i="1"/>
  <c r="E28" i="1"/>
  <c r="E15" i="1" s="1"/>
  <c r="C33" i="9"/>
  <c r="E37" i="1" l="1"/>
  <c r="J43" i="4"/>
  <c r="E6" i="3"/>
  <c r="I4" i="3"/>
  <c r="G6" i="3"/>
  <c r="G4" i="3"/>
  <c r="E4" i="3"/>
  <c r="C26" i="3" l="1"/>
  <c r="C24" i="3"/>
  <c r="C17" i="3"/>
  <c r="C15" i="3"/>
  <c r="C9" i="3"/>
  <c r="C7" i="3"/>
  <c r="J71" i="4"/>
  <c r="H71" i="4"/>
  <c r="M152" i="2"/>
  <c r="N152" i="2" s="1"/>
  <c r="I152" i="2"/>
  <c r="J152" i="2" s="1"/>
  <c r="K163" i="2"/>
  <c r="I163" i="2"/>
  <c r="J163" i="2" s="1"/>
  <c r="G76" i="4"/>
  <c r="I76" i="4" s="1"/>
  <c r="J76" i="4" s="1"/>
  <c r="F76" i="4"/>
  <c r="L152" i="2" l="1"/>
  <c r="L163" i="2"/>
  <c r="H76" i="4"/>
  <c r="J111" i="4" l="1"/>
  <c r="J110" i="4"/>
  <c r="J109" i="4"/>
  <c r="J108" i="4"/>
  <c r="J107" i="4"/>
  <c r="J106" i="4"/>
  <c r="J104" i="4"/>
  <c r="J103" i="4"/>
  <c r="J102" i="4"/>
  <c r="J101" i="4"/>
  <c r="J100" i="4"/>
  <c r="J99" i="4"/>
  <c r="J97" i="4"/>
  <c r="J96" i="4"/>
  <c r="J93" i="4"/>
  <c r="J91" i="4"/>
  <c r="J90" i="4"/>
  <c r="J89" i="4"/>
  <c r="J88" i="4"/>
  <c r="J86" i="4"/>
  <c r="J84" i="4"/>
  <c r="J83" i="4"/>
  <c r="J82" i="4"/>
  <c r="J81" i="4"/>
  <c r="J80" i="4"/>
  <c r="J79" i="4"/>
  <c r="J77" i="4"/>
  <c r="J75" i="4"/>
  <c r="J74" i="4"/>
  <c r="J72" i="4"/>
  <c r="J70" i="4"/>
  <c r="J69" i="4"/>
  <c r="J67" i="4"/>
  <c r="J66" i="4"/>
  <c r="J65" i="4"/>
  <c r="J64" i="4"/>
  <c r="J62" i="4"/>
  <c r="J61" i="4"/>
  <c r="J60" i="4"/>
  <c r="J59" i="4"/>
  <c r="J58" i="4"/>
  <c r="J56" i="4"/>
  <c r="J55" i="4"/>
  <c r="J54" i="4"/>
  <c r="J53" i="4"/>
  <c r="J52" i="4"/>
  <c r="J51" i="4"/>
  <c r="J49" i="4"/>
  <c r="J48" i="4"/>
  <c r="J47" i="4"/>
  <c r="J46" i="4"/>
  <c r="J44" i="4"/>
  <c r="J41" i="4"/>
  <c r="J40" i="4"/>
  <c r="J39" i="4"/>
  <c r="J38" i="4"/>
  <c r="J36" i="4"/>
  <c r="J35" i="4"/>
  <c r="J33" i="4"/>
  <c r="J32" i="4"/>
  <c r="J31" i="4"/>
  <c r="J30" i="4"/>
  <c r="J29" i="4"/>
  <c r="J28" i="4"/>
  <c r="J27" i="4"/>
  <c r="J26" i="4"/>
  <c r="J25" i="4"/>
  <c r="J24" i="4"/>
  <c r="J23" i="4"/>
  <c r="J22" i="4"/>
  <c r="J20" i="4"/>
  <c r="J19" i="4"/>
  <c r="J18" i="4"/>
  <c r="J17" i="4"/>
  <c r="J16" i="4"/>
  <c r="J15" i="4"/>
  <c r="J12" i="4"/>
  <c r="J11" i="4"/>
  <c r="J10" i="4"/>
  <c r="J9" i="4"/>
  <c r="J7" i="4"/>
  <c r="J6" i="4"/>
  <c r="H111" i="4"/>
  <c r="H110" i="4"/>
  <c r="H109" i="4"/>
  <c r="H108" i="4"/>
  <c r="H107" i="4"/>
  <c r="H106" i="4"/>
  <c r="H104" i="4"/>
  <c r="H103" i="4"/>
  <c r="H102" i="4"/>
  <c r="H101" i="4"/>
  <c r="H100" i="4"/>
  <c r="H99" i="4"/>
  <c r="H97" i="4"/>
  <c r="H96" i="4"/>
  <c r="H93" i="4"/>
  <c r="H91" i="4"/>
  <c r="H90" i="4"/>
  <c r="H89" i="4"/>
  <c r="H88" i="4"/>
  <c r="H86" i="4"/>
  <c r="H84" i="4"/>
  <c r="H83" i="4"/>
  <c r="H82" i="4"/>
  <c r="H81" i="4"/>
  <c r="H80" i="4"/>
  <c r="H79" i="4"/>
  <c r="H77" i="4"/>
  <c r="H75" i="4"/>
  <c r="H74" i="4"/>
  <c r="H72" i="4"/>
  <c r="H70" i="4"/>
  <c r="H69" i="4"/>
  <c r="H67" i="4"/>
  <c r="H66" i="4"/>
  <c r="H65" i="4"/>
  <c r="H64" i="4"/>
  <c r="H62" i="4"/>
  <c r="H61" i="4"/>
  <c r="H60" i="4"/>
  <c r="H59" i="4"/>
  <c r="H58" i="4"/>
  <c r="H56" i="4"/>
  <c r="H55" i="4"/>
  <c r="H54" i="4"/>
  <c r="H53" i="4"/>
  <c r="H52" i="4"/>
  <c r="H51" i="4"/>
  <c r="H49" i="4"/>
  <c r="H48" i="4"/>
  <c r="H47" i="4"/>
  <c r="H46" i="4"/>
  <c r="H44" i="4"/>
  <c r="H43" i="4"/>
  <c r="H41" i="4"/>
  <c r="H40" i="4"/>
  <c r="H39" i="4"/>
  <c r="H38" i="4"/>
  <c r="H36" i="4"/>
  <c r="H35" i="4"/>
  <c r="H33" i="4"/>
  <c r="H32" i="4"/>
  <c r="H31" i="4"/>
  <c r="H30" i="4"/>
  <c r="H29" i="4"/>
  <c r="H28" i="4"/>
  <c r="H27" i="4"/>
  <c r="H26" i="4"/>
  <c r="H25" i="4"/>
  <c r="H24" i="4"/>
  <c r="H23" i="4"/>
  <c r="H22" i="4"/>
  <c r="H20" i="4"/>
  <c r="H19" i="4"/>
  <c r="H18" i="4"/>
  <c r="H17" i="4"/>
  <c r="H16" i="4"/>
  <c r="H15" i="4"/>
  <c r="H12" i="4"/>
  <c r="H11" i="4"/>
  <c r="H10" i="4"/>
  <c r="H9" i="4"/>
  <c r="H7" i="4"/>
  <c r="H6" i="4"/>
  <c r="J4" i="4"/>
  <c r="H4" i="4"/>
  <c r="F111" i="4"/>
  <c r="F110" i="4"/>
  <c r="F109" i="4"/>
  <c r="F108" i="4"/>
  <c r="F107" i="4"/>
  <c r="F106" i="4"/>
  <c r="F104" i="4"/>
  <c r="F103" i="4"/>
  <c r="F102" i="4"/>
  <c r="F101" i="4"/>
  <c r="F100" i="4"/>
  <c r="F99" i="4"/>
  <c r="F97" i="4"/>
  <c r="F96" i="4"/>
  <c r="F93" i="4"/>
  <c r="F91" i="4"/>
  <c r="F90" i="4"/>
  <c r="F88" i="4"/>
  <c r="F87" i="4"/>
  <c r="F86" i="4"/>
  <c r="F84" i="4"/>
  <c r="F83" i="4"/>
  <c r="F82" i="4"/>
  <c r="F81" i="4"/>
  <c r="F80" i="4"/>
  <c r="F79" i="4"/>
  <c r="F77" i="4"/>
  <c r="F75" i="4"/>
  <c r="F74" i="4"/>
  <c r="F72" i="4"/>
  <c r="F70" i="4"/>
  <c r="F69" i="4"/>
  <c r="F67" i="4"/>
  <c r="F66" i="4"/>
  <c r="F65" i="4"/>
  <c r="F64" i="4"/>
  <c r="F62" i="4"/>
  <c r="F60" i="4"/>
  <c r="F58" i="4"/>
  <c r="F56" i="4"/>
  <c r="F55" i="4"/>
  <c r="F54" i="4"/>
  <c r="F53" i="4"/>
  <c r="F51" i="4"/>
  <c r="F49" i="4"/>
  <c r="F47" i="4"/>
  <c r="F46" i="4"/>
  <c r="F44" i="4"/>
  <c r="F41" i="4"/>
  <c r="F40" i="4"/>
  <c r="F39" i="4"/>
  <c r="F38" i="4"/>
  <c r="F36" i="4"/>
  <c r="F35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6" i="4"/>
  <c r="F4" i="4"/>
  <c r="I98" i="4" l="1"/>
  <c r="G98" i="4"/>
  <c r="E98" i="4"/>
  <c r="D98" i="4"/>
  <c r="I95" i="4"/>
  <c r="G95" i="4"/>
  <c r="E95" i="4"/>
  <c r="D95" i="4"/>
  <c r="I85" i="4"/>
  <c r="G85" i="4"/>
  <c r="E85" i="4"/>
  <c r="D85" i="4"/>
  <c r="I73" i="4"/>
  <c r="G73" i="4"/>
  <c r="E73" i="4"/>
  <c r="D73" i="4"/>
  <c r="I68" i="4"/>
  <c r="G68" i="4"/>
  <c r="E68" i="4"/>
  <c r="D68" i="4"/>
  <c r="I63" i="4"/>
  <c r="G63" i="4"/>
  <c r="E63" i="4"/>
  <c r="D63" i="4"/>
  <c r="I57" i="4"/>
  <c r="G57" i="4"/>
  <c r="E57" i="4"/>
  <c r="D57" i="4"/>
  <c r="I50" i="4"/>
  <c r="G50" i="4"/>
  <c r="E50" i="4"/>
  <c r="D50" i="4"/>
  <c r="I34" i="4"/>
  <c r="G34" i="4"/>
  <c r="E34" i="4"/>
  <c r="I37" i="4"/>
  <c r="G37" i="4"/>
  <c r="E37" i="4"/>
  <c r="I45" i="4"/>
  <c r="G45" i="4"/>
  <c r="E45" i="4"/>
  <c r="D45" i="4"/>
  <c r="D37" i="4"/>
  <c r="D34" i="4"/>
  <c r="I21" i="4"/>
  <c r="G21" i="4"/>
  <c r="E21" i="4"/>
  <c r="D21" i="4"/>
  <c r="I5" i="4"/>
  <c r="G5" i="4"/>
  <c r="E5" i="4"/>
  <c r="I3" i="4"/>
  <c r="G3" i="4"/>
  <c r="E3" i="4"/>
  <c r="D3" i="4"/>
  <c r="F37" i="4" l="1"/>
  <c r="H63" i="4"/>
  <c r="H105" i="4"/>
  <c r="J45" i="4"/>
  <c r="F73" i="4"/>
  <c r="H3" i="4"/>
  <c r="H50" i="4"/>
  <c r="H92" i="4"/>
  <c r="F3" i="4"/>
  <c r="F50" i="4"/>
  <c r="F92" i="4"/>
  <c r="H98" i="4"/>
  <c r="F21" i="4"/>
  <c r="F63" i="4"/>
  <c r="F98" i="4"/>
  <c r="H21" i="4"/>
  <c r="H73" i="4"/>
  <c r="J3" i="4"/>
  <c r="J63" i="4"/>
  <c r="F5" i="4"/>
  <c r="F68" i="4"/>
  <c r="F85" i="4"/>
  <c r="F95" i="4"/>
  <c r="F105" i="4"/>
  <c r="J50" i="4"/>
  <c r="J98" i="4"/>
  <c r="H34" i="4"/>
  <c r="H68" i="4"/>
  <c r="H95" i="4"/>
  <c r="J5" i="4"/>
  <c r="J57" i="4"/>
  <c r="J85" i="4"/>
  <c r="J95" i="4"/>
  <c r="J105" i="4"/>
  <c r="J21" i="4"/>
  <c r="J73" i="4"/>
  <c r="J37" i="4"/>
  <c r="F34" i="4"/>
  <c r="H5" i="4"/>
  <c r="H57" i="4"/>
  <c r="F45" i="4"/>
  <c r="J68" i="4"/>
  <c r="H45" i="4"/>
  <c r="H37" i="4"/>
  <c r="J92" i="4"/>
  <c r="F57" i="4"/>
  <c r="H85" i="4"/>
  <c r="J34" i="4"/>
  <c r="H19" i="1" l="1"/>
  <c r="E32" i="9"/>
  <c r="E31" i="9"/>
  <c r="G33" i="9"/>
  <c r="F33" i="9"/>
  <c r="K7" i="8"/>
  <c r="K68" i="1"/>
  <c r="I68" i="1"/>
  <c r="G68" i="1"/>
  <c r="F68" i="1"/>
  <c r="L67" i="1"/>
  <c r="J67" i="1"/>
  <c r="H67" i="1"/>
  <c r="H66" i="1"/>
  <c r="L63" i="1"/>
  <c r="L62" i="1"/>
  <c r="J63" i="1"/>
  <c r="J62" i="1"/>
  <c r="H63" i="1"/>
  <c r="H62" i="1"/>
  <c r="K64" i="1"/>
  <c r="I64" i="1"/>
  <c r="G64" i="1"/>
  <c r="F64" i="1"/>
  <c r="L58" i="1"/>
  <c r="L57" i="1"/>
  <c r="J58" i="1"/>
  <c r="J57" i="1"/>
  <c r="H58" i="1"/>
  <c r="H57" i="1"/>
  <c r="K55" i="1"/>
  <c r="I55" i="1"/>
  <c r="G55" i="1"/>
  <c r="F55" i="1"/>
  <c r="L54" i="1"/>
  <c r="J54" i="1"/>
  <c r="H54" i="1"/>
  <c r="K52" i="1"/>
  <c r="I52" i="1"/>
  <c r="G52" i="1"/>
  <c r="F52" i="1"/>
  <c r="L51" i="1"/>
  <c r="L50" i="1"/>
  <c r="L49" i="1"/>
  <c r="L48" i="1"/>
  <c r="L47" i="1"/>
  <c r="L46" i="1"/>
  <c r="L45" i="1"/>
  <c r="L44" i="1"/>
  <c r="L43" i="1"/>
  <c r="J51" i="1"/>
  <c r="J50" i="1"/>
  <c r="J49" i="1"/>
  <c r="J48" i="1"/>
  <c r="J47" i="1"/>
  <c r="J46" i="1"/>
  <c r="J45" i="1"/>
  <c r="J44" i="1"/>
  <c r="J43" i="1"/>
  <c r="H51" i="1"/>
  <c r="H50" i="1"/>
  <c r="H49" i="1"/>
  <c r="H48" i="1"/>
  <c r="H47" i="1"/>
  <c r="H46" i="1"/>
  <c r="H45" i="1"/>
  <c r="H44" i="1"/>
  <c r="H43" i="1"/>
  <c r="M196" i="2"/>
  <c r="M195" i="2" s="1"/>
  <c r="K196" i="2"/>
  <c r="K195" i="2" s="1"/>
  <c r="I196" i="2"/>
  <c r="I195" i="2" s="1"/>
  <c r="M128" i="2"/>
  <c r="K128" i="2"/>
  <c r="I128" i="2"/>
  <c r="M130" i="2"/>
  <c r="I130" i="2"/>
  <c r="J130" i="2" s="1"/>
  <c r="J129" i="2"/>
  <c r="M138" i="2"/>
  <c r="K138" i="2"/>
  <c r="I138" i="2"/>
  <c r="J138" i="2" s="1"/>
  <c r="M136" i="2"/>
  <c r="K136" i="2"/>
  <c r="I136" i="2"/>
  <c r="J136" i="2" s="1"/>
  <c r="I22" i="2"/>
  <c r="M15" i="2"/>
  <c r="M229" i="2"/>
  <c r="K229" i="2"/>
  <c r="I229" i="2"/>
  <c r="J229" i="2" s="1"/>
  <c r="M227" i="2"/>
  <c r="K227" i="2"/>
  <c r="I227" i="2"/>
  <c r="J227" i="2" s="1"/>
  <c r="M225" i="2"/>
  <c r="I225" i="2"/>
  <c r="J225" i="2" s="1"/>
  <c r="M223" i="2"/>
  <c r="K223" i="2"/>
  <c r="I223" i="2"/>
  <c r="J223" i="2" s="1"/>
  <c r="M221" i="2"/>
  <c r="K221" i="2"/>
  <c r="I221" i="2"/>
  <c r="J221" i="2" s="1"/>
  <c r="M219" i="2"/>
  <c r="K219" i="2"/>
  <c r="I219" i="2"/>
  <c r="M216" i="2"/>
  <c r="K216" i="2"/>
  <c r="I216" i="2"/>
  <c r="J216" i="2" s="1"/>
  <c r="M214" i="2"/>
  <c r="K214" i="2"/>
  <c r="I214" i="2"/>
  <c r="J214" i="2" s="1"/>
  <c r="M212" i="2"/>
  <c r="K212" i="2"/>
  <c r="I212" i="2"/>
  <c r="J212" i="2" s="1"/>
  <c r="M210" i="2"/>
  <c r="K210" i="2"/>
  <c r="I210" i="2"/>
  <c r="J210" i="2" s="1"/>
  <c r="M208" i="2"/>
  <c r="K208" i="2"/>
  <c r="I208" i="2"/>
  <c r="J208" i="2" s="1"/>
  <c r="M206" i="2"/>
  <c r="K206" i="2"/>
  <c r="I206" i="2"/>
  <c r="M203" i="2"/>
  <c r="K203" i="2"/>
  <c r="I203" i="2"/>
  <c r="J203" i="2" s="1"/>
  <c r="M201" i="2"/>
  <c r="K201" i="2"/>
  <c r="I201" i="2"/>
  <c r="J201" i="2" s="1"/>
  <c r="M193" i="2"/>
  <c r="K193" i="2"/>
  <c r="I193" i="2"/>
  <c r="J193" i="2" s="1"/>
  <c r="M191" i="2"/>
  <c r="K191" i="2"/>
  <c r="I191" i="2"/>
  <c r="J191" i="2" s="1"/>
  <c r="M189" i="2"/>
  <c r="K189" i="2"/>
  <c r="I189" i="2"/>
  <c r="J189" i="2" s="1"/>
  <c r="M187" i="2"/>
  <c r="K187" i="2"/>
  <c r="I187" i="2"/>
  <c r="J187" i="2" s="1"/>
  <c r="M185" i="2"/>
  <c r="K185" i="2"/>
  <c r="I185" i="2"/>
  <c r="J185" i="2" s="1"/>
  <c r="M183" i="2"/>
  <c r="K183" i="2"/>
  <c r="I183" i="2"/>
  <c r="M179" i="2"/>
  <c r="K179" i="2"/>
  <c r="I179" i="2"/>
  <c r="J179" i="2" s="1"/>
  <c r="M177" i="2"/>
  <c r="K177" i="2"/>
  <c r="I177" i="2"/>
  <c r="J177" i="2" s="1"/>
  <c r="M175" i="2"/>
  <c r="K175" i="2"/>
  <c r="I175" i="2"/>
  <c r="J175" i="2" s="1"/>
  <c r="M173" i="2"/>
  <c r="K173" i="2"/>
  <c r="I173" i="2"/>
  <c r="J173" i="2" s="1"/>
  <c r="M171" i="2"/>
  <c r="K171" i="2"/>
  <c r="I171" i="2"/>
  <c r="J171" i="2" s="1"/>
  <c r="M169" i="2"/>
  <c r="K169" i="2"/>
  <c r="I169" i="2"/>
  <c r="J169" i="2" s="1"/>
  <c r="K168" i="2"/>
  <c r="K167" i="2" s="1"/>
  <c r="M167" i="2"/>
  <c r="I167" i="2"/>
  <c r="M165" i="2"/>
  <c r="I165" i="2"/>
  <c r="J165" i="2" s="1"/>
  <c r="M161" i="2"/>
  <c r="K161" i="2"/>
  <c r="I161" i="2"/>
  <c r="J161" i="2" s="1"/>
  <c r="M159" i="2"/>
  <c r="K159" i="2"/>
  <c r="I159" i="2"/>
  <c r="J159" i="2" s="1"/>
  <c r="M156" i="2"/>
  <c r="K156" i="2"/>
  <c r="I156" i="2"/>
  <c r="J156" i="2" s="1"/>
  <c r="M154" i="2"/>
  <c r="K154" i="2"/>
  <c r="I154" i="2"/>
  <c r="J154" i="2" s="1"/>
  <c r="M150" i="2"/>
  <c r="K150" i="2"/>
  <c r="I150" i="2"/>
  <c r="J150" i="2" s="1"/>
  <c r="M147" i="2"/>
  <c r="K147" i="2"/>
  <c r="I147" i="2"/>
  <c r="J147" i="2" s="1"/>
  <c r="M145" i="2"/>
  <c r="K145" i="2"/>
  <c r="I145" i="2"/>
  <c r="J145" i="2" s="1"/>
  <c r="M143" i="2"/>
  <c r="K143" i="2"/>
  <c r="I143" i="2"/>
  <c r="J143" i="2" s="1"/>
  <c r="M141" i="2"/>
  <c r="K141" i="2"/>
  <c r="I141" i="2"/>
  <c r="J134" i="2"/>
  <c r="M133" i="2"/>
  <c r="N133" i="2" s="1"/>
  <c r="J126" i="2"/>
  <c r="K125" i="2"/>
  <c r="I125" i="2"/>
  <c r="J124" i="2"/>
  <c r="M123" i="2"/>
  <c r="K123" i="2"/>
  <c r="I123" i="2"/>
  <c r="J122" i="2"/>
  <c r="M121" i="2"/>
  <c r="K121" i="2"/>
  <c r="I121" i="2"/>
  <c r="J120" i="2"/>
  <c r="M119" i="2"/>
  <c r="K119" i="2"/>
  <c r="I119" i="2"/>
  <c r="M117" i="2"/>
  <c r="K117" i="2"/>
  <c r="I117" i="2"/>
  <c r="J117" i="2" s="1"/>
  <c r="J116" i="2"/>
  <c r="M115" i="2"/>
  <c r="K115" i="2"/>
  <c r="I115" i="2"/>
  <c r="J113" i="2"/>
  <c r="M112" i="2"/>
  <c r="K112" i="2"/>
  <c r="L112" i="2" s="1"/>
  <c r="M110" i="2"/>
  <c r="K110" i="2"/>
  <c r="I110" i="2"/>
  <c r="J110" i="2" s="1"/>
  <c r="J109" i="2"/>
  <c r="M108" i="2"/>
  <c r="K108" i="2"/>
  <c r="I108" i="2"/>
  <c r="J107" i="2"/>
  <c r="J104" i="2"/>
  <c r="M103" i="2"/>
  <c r="K103" i="2"/>
  <c r="I103" i="2"/>
  <c r="J102" i="2"/>
  <c r="M101" i="2"/>
  <c r="K101" i="2"/>
  <c r="I101" i="2"/>
  <c r="M99" i="2"/>
  <c r="K99" i="2"/>
  <c r="I99" i="2"/>
  <c r="J99" i="2" s="1"/>
  <c r="J98" i="2"/>
  <c r="M97" i="2"/>
  <c r="K97" i="2"/>
  <c r="I97" i="2"/>
  <c r="J96" i="2"/>
  <c r="M95" i="2"/>
  <c r="K95" i="2"/>
  <c r="I95" i="2"/>
  <c r="J94" i="2"/>
  <c r="M93" i="2"/>
  <c r="K93" i="2"/>
  <c r="I93" i="2"/>
  <c r="J92" i="2"/>
  <c r="M91" i="2"/>
  <c r="K91" i="2"/>
  <c r="I91" i="2"/>
  <c r="J88" i="2"/>
  <c r="M87" i="2"/>
  <c r="K87" i="2"/>
  <c r="I87" i="2"/>
  <c r="J86" i="2"/>
  <c r="J85" i="2"/>
  <c r="M84" i="2"/>
  <c r="K84" i="2"/>
  <c r="I84" i="2"/>
  <c r="J82" i="2"/>
  <c r="M81" i="2"/>
  <c r="K81" i="2"/>
  <c r="I81" i="2"/>
  <c r="J80" i="2"/>
  <c r="M79" i="2"/>
  <c r="K79" i="2"/>
  <c r="I79" i="2"/>
  <c r="J78" i="2"/>
  <c r="M77" i="2"/>
  <c r="K77" i="2"/>
  <c r="I77" i="2"/>
  <c r="J76" i="2"/>
  <c r="M75" i="2"/>
  <c r="K75" i="2"/>
  <c r="I75" i="2"/>
  <c r="J74" i="2"/>
  <c r="M73" i="2"/>
  <c r="K73" i="2"/>
  <c r="I73" i="2"/>
  <c r="J72" i="2"/>
  <c r="M71" i="2"/>
  <c r="K71" i="2"/>
  <c r="I71" i="2"/>
  <c r="J70" i="2"/>
  <c r="M69" i="2"/>
  <c r="K69" i="2"/>
  <c r="I69" i="2"/>
  <c r="J68" i="2"/>
  <c r="M67" i="2"/>
  <c r="K67" i="2"/>
  <c r="I67" i="2"/>
  <c r="J66" i="2"/>
  <c r="M65" i="2"/>
  <c r="K65" i="2"/>
  <c r="I65" i="2"/>
  <c r="J64" i="2"/>
  <c r="M63" i="2"/>
  <c r="K63" i="2"/>
  <c r="I63" i="2"/>
  <c r="J62" i="2"/>
  <c r="M61" i="2"/>
  <c r="K61" i="2"/>
  <c r="I61" i="2"/>
  <c r="J60" i="2"/>
  <c r="M59" i="2"/>
  <c r="K59" i="2"/>
  <c r="I59" i="2"/>
  <c r="J57" i="2"/>
  <c r="M55" i="2"/>
  <c r="K55" i="2"/>
  <c r="I55" i="2"/>
  <c r="J54" i="2"/>
  <c r="M53" i="2"/>
  <c r="K53" i="2"/>
  <c r="I53" i="2"/>
  <c r="J52" i="2"/>
  <c r="M51" i="2"/>
  <c r="K51" i="2"/>
  <c r="I51" i="2"/>
  <c r="J50" i="2"/>
  <c r="M49" i="2"/>
  <c r="K49" i="2"/>
  <c r="I49" i="2"/>
  <c r="J48" i="2"/>
  <c r="M47" i="2"/>
  <c r="K47" i="2"/>
  <c r="I47" i="2"/>
  <c r="J46" i="2"/>
  <c r="J45" i="2"/>
  <c r="M44" i="2"/>
  <c r="K44" i="2"/>
  <c r="I44" i="2"/>
  <c r="J43" i="2"/>
  <c r="J42" i="2"/>
  <c r="M41" i="2"/>
  <c r="K41" i="2"/>
  <c r="I41" i="2"/>
  <c r="J40" i="2"/>
  <c r="J39" i="2"/>
  <c r="M38" i="2"/>
  <c r="K38" i="2"/>
  <c r="I38" i="2"/>
  <c r="J37" i="2"/>
  <c r="M36" i="2"/>
  <c r="K36" i="2"/>
  <c r="I36" i="2"/>
  <c r="J35" i="2"/>
  <c r="K34" i="2"/>
  <c r="I34" i="2"/>
  <c r="J33" i="2"/>
  <c r="M32" i="2"/>
  <c r="K32" i="2"/>
  <c r="I32" i="2"/>
  <c r="J31" i="2"/>
  <c r="M30" i="2"/>
  <c r="K30" i="2"/>
  <c r="I30" i="2"/>
  <c r="M28" i="2"/>
  <c r="K28" i="2"/>
  <c r="I28" i="2"/>
  <c r="H28" i="2"/>
  <c r="J27" i="2"/>
  <c r="M26" i="2"/>
  <c r="K26" i="2"/>
  <c r="I26" i="2"/>
  <c r="H26" i="2"/>
  <c r="J25" i="2"/>
  <c r="J24" i="2"/>
  <c r="J23" i="2"/>
  <c r="M22" i="2"/>
  <c r="K22" i="2"/>
  <c r="J18" i="2"/>
  <c r="M17" i="2"/>
  <c r="K17" i="2"/>
  <c r="I17" i="2"/>
  <c r="I16" i="2" s="1"/>
  <c r="I15" i="2" s="1"/>
  <c r="H15" i="2"/>
  <c r="I34" i="1"/>
  <c r="G34" i="1"/>
  <c r="F34" i="1"/>
  <c r="L29" i="1"/>
  <c r="J29" i="1"/>
  <c r="H29" i="1"/>
  <c r="K28" i="1"/>
  <c r="I28" i="1"/>
  <c r="G28" i="1"/>
  <c r="F28" i="1"/>
  <c r="H24" i="1"/>
  <c r="L23" i="1"/>
  <c r="J23" i="1"/>
  <c r="H23" i="1"/>
  <c r="K22" i="1"/>
  <c r="I22" i="1"/>
  <c r="G22" i="1"/>
  <c r="F22" i="1"/>
  <c r="L20" i="1"/>
  <c r="J20" i="1"/>
  <c r="H20" i="1"/>
  <c r="L19" i="1"/>
  <c r="J19" i="1"/>
  <c r="K18" i="1"/>
  <c r="I18" i="1"/>
  <c r="F18" i="1"/>
  <c r="M218" i="2" l="1"/>
  <c r="H27" i="3" s="1"/>
  <c r="I71" i="1"/>
  <c r="J219" i="2"/>
  <c r="I218" i="2"/>
  <c r="K218" i="2"/>
  <c r="I15" i="1"/>
  <c r="I37" i="1" s="1"/>
  <c r="N128" i="2"/>
  <c r="L216" i="2"/>
  <c r="K15" i="1"/>
  <c r="K205" i="2"/>
  <c r="F25" i="3" s="1"/>
  <c r="M205" i="2"/>
  <c r="H25" i="3" s="1"/>
  <c r="J206" i="2"/>
  <c r="I205" i="2"/>
  <c r="D25" i="3" s="1"/>
  <c r="N221" i="2"/>
  <c r="N227" i="2"/>
  <c r="N136" i="2"/>
  <c r="L128" i="2"/>
  <c r="J183" i="2"/>
  <c r="I182" i="2"/>
  <c r="D20" i="3" s="1"/>
  <c r="K182" i="2"/>
  <c r="F20" i="3" s="1"/>
  <c r="N193" i="2"/>
  <c r="M182" i="2"/>
  <c r="H20" i="3" s="1"/>
  <c r="L189" i="2"/>
  <c r="N189" i="2"/>
  <c r="L201" i="2"/>
  <c r="N212" i="2"/>
  <c r="L206" i="2"/>
  <c r="L212" i="2"/>
  <c r="N87" i="2"/>
  <c r="N97" i="2"/>
  <c r="L119" i="2"/>
  <c r="N159" i="2"/>
  <c r="N177" i="2"/>
  <c r="N119" i="2"/>
  <c r="J141" i="2"/>
  <c r="I140" i="2"/>
  <c r="E14" i="3" s="1"/>
  <c r="L154" i="2"/>
  <c r="L173" i="2"/>
  <c r="L59" i="2"/>
  <c r="L71" i="2"/>
  <c r="L84" i="2"/>
  <c r="L103" i="2"/>
  <c r="L141" i="2"/>
  <c r="K140" i="2"/>
  <c r="F14" i="3" s="1"/>
  <c r="N173" i="2"/>
  <c r="N108" i="2"/>
  <c r="L123" i="2"/>
  <c r="N145" i="2"/>
  <c r="L53" i="2"/>
  <c r="L67" i="2"/>
  <c r="L79" i="2"/>
  <c r="L161" i="2"/>
  <c r="M140" i="2"/>
  <c r="H14" i="3" s="1"/>
  <c r="N93" i="2"/>
  <c r="L145" i="2"/>
  <c r="L44" i="2"/>
  <c r="N123" i="2"/>
  <c r="L49" i="2"/>
  <c r="L63" i="2"/>
  <c r="L75" i="2"/>
  <c r="N115" i="2"/>
  <c r="N154" i="2"/>
  <c r="L179" i="2"/>
  <c r="N59" i="2"/>
  <c r="N71" i="2"/>
  <c r="N84" i="2"/>
  <c r="L208" i="2"/>
  <c r="L223" i="2"/>
  <c r="L138" i="2"/>
  <c r="N32" i="2"/>
  <c r="L156" i="2"/>
  <c r="N229" i="2"/>
  <c r="F21" i="3"/>
  <c r="L196" i="2"/>
  <c r="L183" i="2"/>
  <c r="L203" i="2"/>
  <c r="N214" i="2"/>
  <c r="H21" i="3"/>
  <c r="N196" i="2"/>
  <c r="L47" i="2"/>
  <c r="L61" i="2"/>
  <c r="L73" i="2"/>
  <c r="L81" i="2"/>
  <c r="L101" i="2"/>
  <c r="L150" i="2"/>
  <c r="L171" i="2"/>
  <c r="L210" i="2"/>
  <c r="L26" i="2"/>
  <c r="N47" i="2"/>
  <c r="N51" i="2"/>
  <c r="N55" i="2"/>
  <c r="N61" i="2"/>
  <c r="N65" i="2"/>
  <c r="N69" i="2"/>
  <c r="N73" i="2"/>
  <c r="N77" i="2"/>
  <c r="N81" i="2"/>
  <c r="L87" i="2"/>
  <c r="L93" i="2"/>
  <c r="L97" i="2"/>
  <c r="L108" i="2"/>
  <c r="N150" i="2"/>
  <c r="L159" i="2"/>
  <c r="N171" i="2"/>
  <c r="L177" i="2"/>
  <c r="N187" i="2"/>
  <c r="L193" i="2"/>
  <c r="N210" i="2"/>
  <c r="N49" i="2"/>
  <c r="N63" i="2"/>
  <c r="N75" i="2"/>
  <c r="L91" i="2"/>
  <c r="N141" i="2"/>
  <c r="N161" i="2"/>
  <c r="N201" i="2"/>
  <c r="N216" i="2"/>
  <c r="J196" i="2"/>
  <c r="J15" i="2"/>
  <c r="N95" i="2"/>
  <c r="L121" i="2"/>
  <c r="L175" i="2"/>
  <c r="L191" i="2"/>
  <c r="L214" i="2"/>
  <c r="N138" i="2"/>
  <c r="K16" i="2"/>
  <c r="L17" i="2"/>
  <c r="N121" i="2"/>
  <c r="N125" i="2"/>
  <c r="N156" i="2"/>
  <c r="N175" i="2"/>
  <c r="L219" i="2"/>
  <c r="L55" i="2"/>
  <c r="L69" i="2"/>
  <c r="L77" i="2"/>
  <c r="N117" i="2"/>
  <c r="N143" i="2"/>
  <c r="L187" i="2"/>
  <c r="N203" i="2"/>
  <c r="L22" i="2"/>
  <c r="L221" i="2"/>
  <c r="L227" i="2"/>
  <c r="L136" i="2"/>
  <c r="L32" i="2"/>
  <c r="N53" i="2"/>
  <c r="N67" i="2"/>
  <c r="N79" i="2"/>
  <c r="L95" i="2"/>
  <c r="N103" i="2"/>
  <c r="L110" i="2"/>
  <c r="L147" i="2"/>
  <c r="L169" i="2"/>
  <c r="N179" i="2"/>
  <c r="L229" i="2"/>
  <c r="N91" i="2"/>
  <c r="N110" i="2"/>
  <c r="L125" i="2"/>
  <c r="N147" i="2"/>
  <c r="N169" i="2"/>
  <c r="N208" i="2"/>
  <c r="N223" i="2"/>
  <c r="L117" i="2"/>
  <c r="L143" i="2"/>
  <c r="L165" i="2"/>
  <c r="N191" i="2"/>
  <c r="L51" i="2"/>
  <c r="L65" i="2"/>
  <c r="N112" i="2"/>
  <c r="N165" i="2"/>
  <c r="N183" i="2"/>
  <c r="N219" i="2"/>
  <c r="L115" i="2"/>
  <c r="N206" i="2"/>
  <c r="N44" i="2"/>
  <c r="L36" i="2"/>
  <c r="N36" i="2"/>
  <c r="N34" i="2"/>
  <c r="L34" i="2"/>
  <c r="L30" i="2"/>
  <c r="N30" i="2"/>
  <c r="N26" i="2"/>
  <c r="N22" i="2"/>
  <c r="H21" i="2"/>
  <c r="H20" i="2" s="1"/>
  <c r="H237" i="2" s="1"/>
  <c r="F15" i="1"/>
  <c r="F37" i="1" s="1"/>
  <c r="D33" i="9"/>
  <c r="F71" i="1"/>
  <c r="E33" i="9"/>
  <c r="M163" i="2"/>
  <c r="N163" i="2" s="1"/>
  <c r="N225" i="2"/>
  <c r="K130" i="2"/>
  <c r="L130" i="2" s="1"/>
  <c r="K149" i="2"/>
  <c r="K158" i="2"/>
  <c r="M149" i="2"/>
  <c r="H18" i="3" s="1"/>
  <c r="I149" i="2"/>
  <c r="D18" i="3" s="1"/>
  <c r="I158" i="2"/>
  <c r="G25" i="9"/>
  <c r="F25" i="9"/>
  <c r="E25" i="9"/>
  <c r="G71" i="1"/>
  <c r="K71" i="1"/>
  <c r="H22" i="1"/>
  <c r="J52" i="1"/>
  <c r="H28" i="1"/>
  <c r="H64" i="1"/>
  <c r="L64" i="1"/>
  <c r="H52" i="1"/>
  <c r="J68" i="1"/>
  <c r="L68" i="1"/>
  <c r="H16" i="1"/>
  <c r="J26" i="1"/>
  <c r="L52" i="1"/>
  <c r="H55" i="1"/>
  <c r="L55" i="1"/>
  <c r="J64" i="1"/>
  <c r="L26" i="1"/>
  <c r="H68" i="1"/>
  <c r="L60" i="1"/>
  <c r="J60" i="1"/>
  <c r="H60" i="1"/>
  <c r="J55" i="1"/>
  <c r="J22" i="1"/>
  <c r="L22" i="1"/>
  <c r="H26" i="1"/>
  <c r="H35" i="1"/>
  <c r="L28" i="1"/>
  <c r="J28" i="1"/>
  <c r="I127" i="2"/>
  <c r="E13" i="3" s="1"/>
  <c r="M127" i="2"/>
  <c r="H13" i="3" s="1"/>
  <c r="M200" i="2"/>
  <c r="H22" i="3" s="1"/>
  <c r="I200" i="2"/>
  <c r="J115" i="2"/>
  <c r="J77" i="2"/>
  <c r="J101" i="2"/>
  <c r="J26" i="2"/>
  <c r="I114" i="2"/>
  <c r="D12" i="3" s="1"/>
  <c r="E12" i="3" s="1"/>
  <c r="J30" i="2"/>
  <c r="J55" i="2"/>
  <c r="J103" i="2"/>
  <c r="J51" i="2"/>
  <c r="J53" i="2"/>
  <c r="I83" i="2"/>
  <c r="J81" i="2"/>
  <c r="M90" i="2"/>
  <c r="H10" i="3" s="1"/>
  <c r="J59" i="2"/>
  <c r="K105" i="2"/>
  <c r="F11" i="3" s="1"/>
  <c r="J17" i="2"/>
  <c r="J69" i="2"/>
  <c r="J125" i="2"/>
  <c r="J38" i="2"/>
  <c r="J47" i="2"/>
  <c r="J41" i="2"/>
  <c r="J65" i="2"/>
  <c r="K83" i="2"/>
  <c r="K114" i="2"/>
  <c r="F12" i="3" s="1"/>
  <c r="J119" i="2"/>
  <c r="J133" i="2"/>
  <c r="J44" i="2"/>
  <c r="J91" i="2"/>
  <c r="J93" i="2"/>
  <c r="J36" i="2"/>
  <c r="I21" i="2"/>
  <c r="K21" i="2"/>
  <c r="J63" i="2"/>
  <c r="J71" i="2"/>
  <c r="J73" i="2"/>
  <c r="J79" i="2"/>
  <c r="J95" i="2"/>
  <c r="J123" i="2"/>
  <c r="M83" i="2"/>
  <c r="H6" i="3" s="1"/>
  <c r="I6" i="3" s="1"/>
  <c r="M21" i="2"/>
  <c r="K58" i="2"/>
  <c r="F8" i="3" s="1"/>
  <c r="J97" i="2"/>
  <c r="I105" i="2"/>
  <c r="D11" i="3" s="1"/>
  <c r="E11" i="3" s="1"/>
  <c r="K200" i="2"/>
  <c r="M58" i="2"/>
  <c r="H8" i="3" s="1"/>
  <c r="J34" i="2"/>
  <c r="J49" i="2"/>
  <c r="J75" i="2"/>
  <c r="J84" i="2"/>
  <c r="J87" i="2"/>
  <c r="K90" i="2"/>
  <c r="F10" i="3" s="1"/>
  <c r="J106" i="2"/>
  <c r="J128" i="2"/>
  <c r="I58" i="2"/>
  <c r="D8" i="3" s="1"/>
  <c r="M114" i="2"/>
  <c r="J61" i="2"/>
  <c r="J108" i="2"/>
  <c r="L18" i="1"/>
  <c r="G18" i="1"/>
  <c r="G15" i="1" s="1"/>
  <c r="L16" i="1"/>
  <c r="J16" i="1"/>
  <c r="J67" i="2"/>
  <c r="J22" i="2"/>
  <c r="I90" i="2"/>
  <c r="D10" i="3" s="1"/>
  <c r="J112" i="2"/>
  <c r="J121" i="2"/>
  <c r="J16" i="2"/>
  <c r="J32" i="2"/>
  <c r="H34" i="1"/>
  <c r="K34" i="1"/>
  <c r="J205" i="2" l="1"/>
  <c r="G14" i="3"/>
  <c r="J140" i="2"/>
  <c r="J182" i="2"/>
  <c r="N140" i="2"/>
  <c r="H19" i="3"/>
  <c r="I14" i="3"/>
  <c r="G10" i="3"/>
  <c r="L149" i="2"/>
  <c r="F18" i="3"/>
  <c r="I21" i="3"/>
  <c r="N114" i="2"/>
  <c r="H12" i="3"/>
  <c r="I12" i="3" s="1"/>
  <c r="F7" i="3"/>
  <c r="G8" i="3"/>
  <c r="J195" i="2"/>
  <c r="D21" i="3"/>
  <c r="E21" i="3" s="1"/>
  <c r="E25" i="3"/>
  <c r="D24" i="3"/>
  <c r="E24" i="3" s="1"/>
  <c r="L200" i="2"/>
  <c r="F22" i="3"/>
  <c r="F19" i="3" s="1"/>
  <c r="L158" i="2"/>
  <c r="F16" i="3"/>
  <c r="H26" i="3"/>
  <c r="I20" i="3"/>
  <c r="E8" i="3"/>
  <c r="D7" i="3"/>
  <c r="J158" i="2"/>
  <c r="D16" i="3"/>
  <c r="G20" i="3"/>
  <c r="E10" i="3"/>
  <c r="D9" i="3"/>
  <c r="I10" i="3"/>
  <c r="E18" i="3"/>
  <c r="D17" i="3"/>
  <c r="E20" i="3"/>
  <c r="H24" i="3"/>
  <c r="I25" i="3"/>
  <c r="H7" i="3"/>
  <c r="I8" i="3"/>
  <c r="G12" i="3"/>
  <c r="J218" i="2"/>
  <c r="D27" i="3"/>
  <c r="G11" i="3"/>
  <c r="J200" i="2"/>
  <c r="D22" i="3"/>
  <c r="E22" i="3" s="1"/>
  <c r="H17" i="3"/>
  <c r="G25" i="3"/>
  <c r="F24" i="3"/>
  <c r="L21" i="2"/>
  <c r="N90" i="2"/>
  <c r="N195" i="2"/>
  <c r="N58" i="2"/>
  <c r="L83" i="2"/>
  <c r="L105" i="2"/>
  <c r="N149" i="2"/>
  <c r="N130" i="2"/>
  <c r="N200" i="2"/>
  <c r="L58" i="2"/>
  <c r="L205" i="2"/>
  <c r="N83" i="2"/>
  <c r="L195" i="2"/>
  <c r="L182" i="2"/>
  <c r="L225" i="2"/>
  <c r="K15" i="2"/>
  <c r="L16" i="2"/>
  <c r="N16" i="2"/>
  <c r="L90" i="2"/>
  <c r="N182" i="2"/>
  <c r="L140" i="2"/>
  <c r="N205" i="2"/>
  <c r="L114" i="2"/>
  <c r="N21" i="2"/>
  <c r="L71" i="1"/>
  <c r="H18" i="1"/>
  <c r="E22" i="9"/>
  <c r="E28" i="9" s="1"/>
  <c r="F28" i="9"/>
  <c r="M105" i="2"/>
  <c r="K127" i="2"/>
  <c r="J71" i="1"/>
  <c r="H71" i="1"/>
  <c r="M158" i="2"/>
  <c r="K37" i="1"/>
  <c r="G22" i="9" s="1"/>
  <c r="G28" i="9" s="1"/>
  <c r="J127" i="2"/>
  <c r="J83" i="2"/>
  <c r="J114" i="2"/>
  <c r="J21" i="2"/>
  <c r="J105" i="2"/>
  <c r="J18" i="1"/>
  <c r="J90" i="2"/>
  <c r="J58" i="2"/>
  <c r="L15" i="1"/>
  <c r="K20" i="2" l="1"/>
  <c r="K237" i="2" s="1"/>
  <c r="I24" i="3"/>
  <c r="I7" i="3"/>
  <c r="N105" i="2"/>
  <c r="H11" i="3"/>
  <c r="G7" i="3"/>
  <c r="E7" i="3"/>
  <c r="G22" i="3"/>
  <c r="N127" i="2"/>
  <c r="F13" i="3"/>
  <c r="E9" i="3"/>
  <c r="E27" i="3"/>
  <c r="D26" i="3"/>
  <c r="E26" i="3" s="1"/>
  <c r="I19" i="3"/>
  <c r="F17" i="3"/>
  <c r="G17" i="3" s="1"/>
  <c r="G18" i="3"/>
  <c r="G24" i="3"/>
  <c r="L218" i="2"/>
  <c r="F27" i="3"/>
  <c r="E17" i="3"/>
  <c r="G21" i="3"/>
  <c r="I22" i="3"/>
  <c r="I18" i="3"/>
  <c r="E16" i="3"/>
  <c r="D15" i="3"/>
  <c r="E15" i="3" s="1"/>
  <c r="G16" i="3"/>
  <c r="F15" i="3"/>
  <c r="N158" i="2"/>
  <c r="H16" i="3"/>
  <c r="L127" i="2"/>
  <c r="N218" i="2"/>
  <c r="L15" i="2"/>
  <c r="N15" i="2"/>
  <c r="M20" i="2"/>
  <c r="M237" i="2" s="1"/>
  <c r="J15" i="1"/>
  <c r="G37" i="1"/>
  <c r="H15" i="1"/>
  <c r="L37" i="1"/>
  <c r="I17" i="3" l="1"/>
  <c r="G15" i="3"/>
  <c r="G13" i="3"/>
  <c r="F9" i="3"/>
  <c r="G9" i="3" s="1"/>
  <c r="I13" i="3"/>
  <c r="I16" i="3"/>
  <c r="H15" i="3"/>
  <c r="I15" i="3" s="1"/>
  <c r="I11" i="3"/>
  <c r="H9" i="3"/>
  <c r="G27" i="3"/>
  <c r="F26" i="3"/>
  <c r="I27" i="3"/>
  <c r="N20" i="2"/>
  <c r="J37" i="1"/>
  <c r="H37" i="1"/>
  <c r="G26" i="3" l="1"/>
  <c r="I26" i="3"/>
  <c r="I9" i="3"/>
  <c r="N237" i="2"/>
  <c r="E52" i="1" l="1"/>
  <c r="E68" i="1"/>
  <c r="B3" i="3"/>
  <c r="B29" i="3" s="1"/>
  <c r="C3" i="3"/>
  <c r="C29" i="3" s="1"/>
  <c r="E5" i="3"/>
  <c r="D3" i="3"/>
  <c r="C25" i="9" l="1"/>
  <c r="C28" i="9" s="1"/>
  <c r="C39" i="9" s="1"/>
  <c r="D36" i="9" s="1"/>
  <c r="E71" i="1"/>
  <c r="E3" i="3"/>
  <c r="G5" i="3"/>
  <c r="F3" i="3"/>
  <c r="F29" i="3" s="1"/>
  <c r="E36" i="9" l="1"/>
  <c r="D39" i="9"/>
  <c r="G3" i="3"/>
  <c r="I5" i="3"/>
  <c r="H3" i="3"/>
  <c r="I3" i="3" s="1"/>
  <c r="F36" i="9" l="1"/>
  <c r="E39" i="9"/>
  <c r="H29" i="3"/>
  <c r="I29" i="3" s="1"/>
  <c r="I233" i="2"/>
  <c r="L233" i="2" s="1"/>
  <c r="G36" i="9" l="1"/>
  <c r="G39" i="9" s="1"/>
  <c r="F39" i="9"/>
  <c r="E37" i="9"/>
  <c r="I20" i="2"/>
  <c r="I237" i="2" s="1"/>
  <c r="D23" i="3"/>
  <c r="L237" i="2" l="1"/>
  <c r="J237" i="2"/>
  <c r="L20" i="2"/>
  <c r="J20" i="2"/>
  <c r="G23" i="3"/>
  <c r="D19" i="3"/>
  <c r="E19" i="3" l="1"/>
  <c r="D29" i="3"/>
  <c r="G19" i="3"/>
  <c r="G29" i="3" l="1"/>
  <c r="E29" i="3"/>
</calcChain>
</file>

<file path=xl/sharedStrings.xml><?xml version="1.0" encoding="utf-8"?>
<sst xmlns="http://schemas.openxmlformats.org/spreadsheetml/2006/main" count="780" uniqueCount="269">
  <si>
    <t>OPĆINA ŠESTANOVAC</t>
  </si>
  <si>
    <t>A) RAČUN PRIHODA I RASHODA</t>
  </si>
  <si>
    <t xml:space="preserve">      PRIHODI POSLOVANJA</t>
  </si>
  <si>
    <t>Raz-red</t>
  </si>
  <si>
    <t>Sku-pina</t>
  </si>
  <si>
    <t>Izvor</t>
  </si>
  <si>
    <t>Naziv prihoda</t>
  </si>
  <si>
    <t>Projekcija proračuna za 2027</t>
  </si>
  <si>
    <t>6</t>
  </si>
  <si>
    <t/>
  </si>
  <si>
    <t>PRIHODI POSLOVANJA</t>
  </si>
  <si>
    <t>Prihodi od poreza</t>
  </si>
  <si>
    <t>Pomoći iz inozemstva (darovnice) i od subjekata unutar opće države</t>
  </si>
  <si>
    <t>Prihodi od imovine</t>
  </si>
  <si>
    <t>Prihodi od upravnih i administrativnih pristojbi...</t>
  </si>
  <si>
    <t>Prihodi od prodaje proizvoda i robe te pruženih usluga i prihodi od donacija</t>
  </si>
  <si>
    <t>Ostali prihodi</t>
  </si>
  <si>
    <t>7</t>
  </si>
  <si>
    <t>PRIHODI OD PRODAJE NEFINANCIJSKE IMOVINE</t>
  </si>
  <si>
    <t>Prihodi od prodaje proizvedene dugotrajne imovine</t>
  </si>
  <si>
    <t>PRIMICI OD FINANCIJSKE IMOVINE I ZADUŽENA</t>
  </si>
  <si>
    <t>Primici od zaduženja</t>
  </si>
  <si>
    <t>Primljeni krediti i zajmovi od kreditnih institucija u javnom sektoru</t>
  </si>
  <si>
    <t>INDEKS</t>
  </si>
  <si>
    <t>2024 EUR</t>
  </si>
  <si>
    <t>2025 EUR</t>
  </si>
  <si>
    <t>2026 EUR</t>
  </si>
  <si>
    <t>2026/2025</t>
  </si>
  <si>
    <t>2027 EUR</t>
  </si>
  <si>
    <t>2027/2026</t>
  </si>
  <si>
    <t>Razdjel: 001 Vijeće</t>
  </si>
  <si>
    <t>Glava 00101 Vijeće</t>
  </si>
  <si>
    <t xml:space="preserve">FUNKC.KLASIF. 01 - Opće javne usluge </t>
  </si>
  <si>
    <t>1000 Redovni rad vijeća</t>
  </si>
  <si>
    <t>A100001 Redovno rad vijeća</t>
  </si>
  <si>
    <t>Razdjel: 002 Načelnik i uprava</t>
  </si>
  <si>
    <t xml:space="preserve">Glava 00201 Načelnik i Upravni odjel </t>
  </si>
  <si>
    <t>1001 Javna uprava i administracija</t>
  </si>
  <si>
    <t>A100002 Redovno funkcioniranje Općine</t>
  </si>
  <si>
    <t>A100003 Stručno usavršavanje zaposlenika</t>
  </si>
  <si>
    <t xml:space="preserve">A100005 Vanjski suradnici </t>
  </si>
  <si>
    <t>A100060 Ovrha po sudskim sporovima</t>
  </si>
  <si>
    <t>K200001 Nabava dugotrajne imovine za općinske prostorije</t>
  </si>
  <si>
    <t>A100008 Uređenje općinskih prostora u vlasništvu Općine</t>
  </si>
  <si>
    <t>A100009 LAG</t>
  </si>
  <si>
    <t>A100010 TURISTIČKA ZAJEDNICA</t>
  </si>
  <si>
    <t>A100011 POLITIČKE STRANKE</t>
  </si>
  <si>
    <t>A100051 Poduzetnički inkubator</t>
  </si>
  <si>
    <t>FUNKC.KLASIF. 03- javni red i sigurnost</t>
  </si>
  <si>
    <t>1002 Zaštita  i spašavanje</t>
  </si>
  <si>
    <t xml:space="preserve">A100012 DVD </t>
  </si>
  <si>
    <t>A100013 DVD sezonski vatrogasac</t>
  </si>
  <si>
    <t>A100014 HGSS</t>
  </si>
  <si>
    <t>A100015 Civilna zaštita</t>
  </si>
  <si>
    <t>A100016 Crveni križ</t>
  </si>
  <si>
    <t>A100017 Ostali sudionici ZiSa</t>
  </si>
  <si>
    <t>A100018 Službe i djelatnosti kojima je ZiS redovna djelatnost</t>
  </si>
  <si>
    <t>T200001 Plan zaštite i spašavanja</t>
  </si>
  <si>
    <t>K200003 Procjena ugroženosti od požara</t>
  </si>
  <si>
    <t>K200004 Plan zaštite od požara</t>
  </si>
  <si>
    <t>1003 Javni radovi</t>
  </si>
  <si>
    <t>A100079 Zapošljavanje - program ZAŽELI</t>
  </si>
  <si>
    <t>A100019 Zapošljavanje - program Javni radovi</t>
  </si>
  <si>
    <t>FUNKC.KLASIF. 04- Ekonomski poslovi</t>
  </si>
  <si>
    <t>1004 Poticanje razvoja gospodarstva</t>
  </si>
  <si>
    <t>A100020 Jačanje konkurentnosti poljoprivrednih proizvođača</t>
  </si>
  <si>
    <t>A100056 Poticanje razvoja malog poduzetništva i obrta</t>
  </si>
  <si>
    <t xml:space="preserve">Subvencije  </t>
  </si>
  <si>
    <t>K200006 Razvoj gospodarske zone i izgradnja</t>
  </si>
  <si>
    <t>K200007  Razvoj turizma (tematske staze i interaktivne karte)</t>
  </si>
  <si>
    <t>1005 Održavanje objekata i uređenje komunalne infrastrukture</t>
  </si>
  <si>
    <t>A100021 Održavanje i uređenje javnih površina i igrališta i tržnica</t>
  </si>
  <si>
    <t>A100022 Sanacija i čišćenje od snijega nerazvrstanih cesta</t>
  </si>
  <si>
    <t>1006 Razvoj i sigurnost prometa</t>
  </si>
  <si>
    <t>A100023 Sanacija nerazvrstanih cesta</t>
  </si>
  <si>
    <t>A100100 Održavanje nerazvrstanih cesta</t>
  </si>
  <si>
    <t>A100058 Kamere za sigurnost prometa</t>
  </si>
  <si>
    <t>A100024 Uređenje poljskih puteva</t>
  </si>
  <si>
    <t>A100025 Ulične table</t>
  </si>
  <si>
    <t>A100026 Putokazi</t>
  </si>
  <si>
    <t>1007 Groblja i mrtvačnice</t>
  </si>
  <si>
    <t>1008 Vodoopskrba i odvodnja</t>
  </si>
  <si>
    <t xml:space="preserve">K200010 Vodovod </t>
  </si>
  <si>
    <t>K200011 Izrada projektno tehničke dokumentacije kanalizacije središta Šestanovca</t>
  </si>
  <si>
    <t>FUNKC.KLASIF. 06- Unaprjeđenje stanovanja i zajednice</t>
  </si>
  <si>
    <t>1009 Prostorno uređenje i unapređenje stanovanja</t>
  </si>
  <si>
    <t>A100028 Održavanje javne rasvjete</t>
  </si>
  <si>
    <t>K200012 Rekonstrukcija javne rasvjete</t>
  </si>
  <si>
    <t>K200013 Izmjene i dopune PPUO Šestanovac</t>
  </si>
  <si>
    <t>FUNKC.KLASIF. 05- Zaštita okoliša</t>
  </si>
  <si>
    <t>1010 Zaštite okoliša i životne sredine</t>
  </si>
  <si>
    <t>A100029 Deratizacija i dezinsekcija</t>
  </si>
  <si>
    <t>A100047 Usluge skupljanja napuštenih i izgubljenih životinja</t>
  </si>
  <si>
    <t>K200014 Planovi intervencije u zaštiti okoliša</t>
  </si>
  <si>
    <t>A100054 Eko patrola</t>
  </si>
  <si>
    <t>A100030 Održavanje i sanacija deponija</t>
  </si>
  <si>
    <t>A100031 Naknada za zaštitu okoliša (Karepovac)</t>
  </si>
  <si>
    <t>A100059 Poticajna naknada za smanjenje MKO</t>
  </si>
  <si>
    <t>T200003 Plan gospodarenja otpadom</t>
  </si>
  <si>
    <t xml:space="preserve">FUNKC.KLASIF. 08-Rekreacija, kultura i religija </t>
  </si>
  <si>
    <t>1011 Potrebe u kulturi</t>
  </si>
  <si>
    <t>A100032 Potpore u kulturi (folklor, mažoretkinje)</t>
  </si>
  <si>
    <t>A100033 Pasionska baština</t>
  </si>
  <si>
    <t>K200032 Mandušića kula rekonstrukcija</t>
  </si>
  <si>
    <t>A100046 Organizacija Šestanovačkog ljeta</t>
  </si>
  <si>
    <t>1012 Organizacija rekreacije i športskih aktivnosti</t>
  </si>
  <si>
    <t>1013 Potpora udrugama i vjerskim zajednicama</t>
  </si>
  <si>
    <t xml:space="preserve">A100035 Potpora udrugama </t>
  </si>
  <si>
    <t>A100036 Potpora vjerskim zajednicama</t>
  </si>
  <si>
    <t>FUNKC.KLASIF.09- Obrazovanje</t>
  </si>
  <si>
    <t>1014 Obrazovanje</t>
  </si>
  <si>
    <t>A100037 Stipendije i školarine</t>
  </si>
  <si>
    <t>A100038 Donacije osnovno školstvo</t>
  </si>
  <si>
    <t>A100061 Nagrade za izniman uspjeh učenicima i studentima</t>
  </si>
  <si>
    <t>A100039 Redovni rad vrtića i male škole</t>
  </si>
  <si>
    <t>A100040 Savjet mladih</t>
  </si>
  <si>
    <t>FUNKC.KLASIF.10- Socijalna zaštita</t>
  </si>
  <si>
    <t>1015 Pomoć obiteljima i kućanstvima</t>
  </si>
  <si>
    <t>A100041 Smještaj Policija - turistička sezona</t>
  </si>
  <si>
    <t>A100042 Naknade za novorođenčad</t>
  </si>
  <si>
    <t>A100043 Pomoć obiteljima i kućanstvima</t>
  </si>
  <si>
    <t>A100045 Komemoracije i obljetnice</t>
  </si>
  <si>
    <t>SVEUKUPNO:</t>
  </si>
  <si>
    <t xml:space="preserve"> </t>
  </si>
  <si>
    <t>BROJČANA OZNAKA I NAZIV FUNKCIJSKE KLASIFIKACIJE</t>
  </si>
  <si>
    <t>*RASHODI PREMA FUNKCIJSKOJ KLASIFIKACIJI</t>
  </si>
  <si>
    <t>IZVOR</t>
  </si>
  <si>
    <t>32</t>
  </si>
  <si>
    <t>31</t>
  </si>
  <si>
    <t>34</t>
  </si>
  <si>
    <t>42</t>
  </si>
  <si>
    <t>54</t>
  </si>
  <si>
    <t>38</t>
  </si>
  <si>
    <t>35</t>
  </si>
  <si>
    <t>41</t>
  </si>
  <si>
    <t>36</t>
  </si>
  <si>
    <t>37</t>
  </si>
  <si>
    <t>Rashodi za zaposlene</t>
  </si>
  <si>
    <t>Materijalni rashodi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</si>
  <si>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</si>
  <si>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</si>
  <si>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</si>
  <si>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</si>
  <si>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</si>
  <si>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</si>
  <si>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</si>
  <si>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Izdaci za otplatu glavnice primljenih kredita i zajmova</t>
  </si>
  <si>
    <t>K200020 VODOOPSKRBA- građevinski objekti</t>
  </si>
  <si>
    <t>K200009 Mrtvačnica građevinski objekti</t>
  </si>
  <si>
    <t xml:space="preserve">K200015 Spomen ploče žrtvama rata i poraća </t>
  </si>
  <si>
    <t>A100057 Potpora Veterinarskoj stanici u Šestanovcu</t>
  </si>
  <si>
    <t>A100006 Dan općine</t>
  </si>
  <si>
    <t>A100052 FLAG</t>
  </si>
  <si>
    <t>A100053 Povrat kredita HBOR-a</t>
  </si>
  <si>
    <t>K200097  Električne bicikle</t>
  </si>
  <si>
    <t>K200002  Mjerač kvalitete zraka</t>
  </si>
  <si>
    <t>A100068 Tržnica uređenje</t>
  </si>
  <si>
    <t>A100067 Sanacija stabala u Kreševo Polju, Katunima, Žeževici i Grabovcu</t>
  </si>
  <si>
    <t>A100069 Održavanje groblja</t>
  </si>
  <si>
    <t>A100070 Izgradnja groblja</t>
  </si>
  <si>
    <t>K200022 Mrtvačnica oprema</t>
  </si>
  <si>
    <t>K200023 ODVODNJA - građevinski objekti</t>
  </si>
  <si>
    <t>A100066 Sanacije stare Crkve Uznesenja BDM-Katuni</t>
  </si>
  <si>
    <t>A100075 Potpore u športu donacije</t>
  </si>
  <si>
    <t>PROGRAM</t>
  </si>
  <si>
    <t>AKTIVNOSTI, KAPITALNI PROJEKTI I TEKUĆI PROJEKTI</t>
  </si>
  <si>
    <t xml:space="preserve">      RASHODI POSLOVANJA</t>
  </si>
  <si>
    <t>Naziv rashoda</t>
  </si>
  <si>
    <t>Svukupno Rashodi</t>
  </si>
  <si>
    <t>Svukupno prihodi</t>
  </si>
  <si>
    <t>11 Opći prihodi i primici</t>
  </si>
  <si>
    <t>54 Pomoći za proračunske korisnike</t>
  </si>
  <si>
    <t>56 Pomoći za proračunske korisnike iz EU - prijenos</t>
  </si>
  <si>
    <t>71 Prihodi od prodaje nefinancijske imovine</t>
  </si>
  <si>
    <t>31 Vlastiti prihodi</t>
  </si>
  <si>
    <t>index 26-25</t>
  </si>
  <si>
    <t>index 27-26</t>
  </si>
  <si>
    <t>81 Namjenski primici od zaduživanja</t>
  </si>
  <si>
    <t>IZDACI OD FINANCIJSKE IMOVINE I ZADUŽENA</t>
  </si>
  <si>
    <t>Izdaci od zaduženja</t>
  </si>
  <si>
    <t>71 Prihodi od prodaje nefinancijske imovine; 54 Pomoći za proračunske korisnike</t>
  </si>
  <si>
    <t>PLAN</t>
  </si>
  <si>
    <t>PROJEKCIJA</t>
  </si>
  <si>
    <t>A. SAŽETAK RAČUNA PRIHODA I RASHODA</t>
  </si>
  <si>
    <t>PRIHODI UKUPNO</t>
  </si>
  <si>
    <t xml:space="preserve">Prihodi poslovanja                                                                                  </t>
  </si>
  <si>
    <t>Prihodi od prodaje nefinancijske imovine</t>
  </si>
  <si>
    <t>RASHODI UKUPNO</t>
  </si>
  <si>
    <t>3</t>
  </si>
  <si>
    <t xml:space="preserve">Rashodi poslovanja                                                                                  </t>
  </si>
  <si>
    <t>4</t>
  </si>
  <si>
    <t xml:space="preserve">Rashodi za nabavu nefinancijske imovine                                                             </t>
  </si>
  <si>
    <t>RAZLIKA − VIŠAK / MANJAK</t>
  </si>
  <si>
    <t>B. SAŽETAK RAČUNA ZADUŽIVANJA / FINANCIRANJA</t>
  </si>
  <si>
    <t>8</t>
  </si>
  <si>
    <t xml:space="preserve">Primici od financijske imovine i zaduživanja                                                        </t>
  </si>
  <si>
    <t>5</t>
  </si>
  <si>
    <t xml:space="preserve">Izdaci za financijsku imovinu i otplate zajmova                                                     </t>
  </si>
  <si>
    <t>NETO ZADUŽIVANJE / FINANCIRANJE</t>
  </si>
  <si>
    <t>C.  PRENESENI VIŠAK / MANJAK IZ PRETHODNIH GODINA</t>
  </si>
  <si>
    <t>UKUPAN DONOS VIŠKA/MANJKA IZ PRETHODNIH GODINA</t>
  </si>
  <si>
    <t>DIO VIŠKA / MANJKA IZ PRETHODNIH GODINA KOJI ĆE SE RASPOREDITI / POKRITI U PLANIRANOM RAZDOBLJU</t>
  </si>
  <si>
    <t>VIŠAK / MANJAK + NETO ZADUŽIVANJE / FINANCIRANJE + RASPOLOŽIVA SREDSTVA IZ PRETHODNIH GODINA</t>
  </si>
  <si>
    <t>Funkcijska klasifikacija 011 Redovni rad vijeća</t>
  </si>
  <si>
    <t>Funkcijska klasifikacija 012 Javna uprava i administracija</t>
  </si>
  <si>
    <t>Funkcijska klasifikacija 013 Javni radovi</t>
  </si>
  <si>
    <t>Funkcijska klasifikacija 031 Zaštita i spašavanje</t>
  </si>
  <si>
    <t>Funkcijska klasifikacija 041 Poticanje razvoja gospodarstva</t>
  </si>
  <si>
    <t>Funkcijska klasifikacija 042 Održavanje objekata i uređenje komunalne infrastrukture</t>
  </si>
  <si>
    <t>Funkcijska klasifikacija 043 Razvoj i sigurnost prometa</t>
  </si>
  <si>
    <t>Funkcijska klasifikacija 043 Groblja i mrtvačnice</t>
  </si>
  <si>
    <t>Funkcijska klasifikacija 044 Vodoopskrba i odvodnja</t>
  </si>
  <si>
    <t>Funkcijska klasifikacija 051 Zaštite okoliša i životne sredine</t>
  </si>
  <si>
    <t>Funkcijska klasifikacija 061 Prostorno uređenje i unapređenje stanovanja</t>
  </si>
  <si>
    <t>Funkcijska klasifikacija 081 Potrebe u kulturi</t>
  </si>
  <si>
    <t>Funkcijska klasifikacija 082 Organizacija rekreacije i športskih aktivnosti</t>
  </si>
  <si>
    <t>Funkcijska klasifikacija 083 Potpora udrugama i vjerskim zajednicama</t>
  </si>
  <si>
    <t>Funkcijska klasifikacija 091 Obrazovanje</t>
  </si>
  <si>
    <t>Funkcijska klasifikacija 011 Pomoć obiteljima i kućanstvima</t>
  </si>
  <si>
    <t>Razred</t>
  </si>
  <si>
    <t>IZVRŠENJE</t>
  </si>
  <si>
    <t xml:space="preserve">PRORAČUN </t>
  </si>
  <si>
    <t>Članak 1.</t>
  </si>
  <si>
    <t xml:space="preserve">I. OPĆI DIO </t>
  </si>
  <si>
    <t>Članak 2.</t>
  </si>
  <si>
    <t>Članak 3.</t>
  </si>
  <si>
    <t>izvorima financiranja, te rashodi po funkcijskoj klasifikaciji kako slijedi:</t>
  </si>
  <si>
    <t>Članak 4.</t>
  </si>
  <si>
    <t>II POSEBNI DIO</t>
  </si>
  <si>
    <t>Članak 5.</t>
  </si>
  <si>
    <t>A100004 Sredstva za državne referendume, državne izbore, lokalne izbore i izbore vijeća mjesnih odbora</t>
  </si>
  <si>
    <t>A100007 Povrat kratkoročnog kredita</t>
  </si>
  <si>
    <t>T200002 Procjena ugroženosti stanovništva i materijalnih dobara</t>
  </si>
  <si>
    <t xml:space="preserve">K200016 Kontejneri i spremnici </t>
  </si>
  <si>
    <t>A100044 Sufinanciranje cijene prijevoza</t>
  </si>
  <si>
    <t>A200004 Katastarski poslovi</t>
  </si>
  <si>
    <t>K200007  Razvoj turizma (tematske staze)</t>
  </si>
  <si>
    <t>K200031 Otkup zemljišta za proširenje groblja</t>
  </si>
  <si>
    <t>K200023 Odvodnja - građevinski objekti</t>
  </si>
  <si>
    <t>K200020 Vodoopskrba- građevinski objekti</t>
  </si>
  <si>
    <t>K300002 Reciklažno dvorište</t>
  </si>
  <si>
    <t xml:space="preserve">A100032 Potpore u kulturi </t>
  </si>
  <si>
    <t>K200034 Izrada projektne dokumentacije vrtić</t>
  </si>
  <si>
    <t>A100049 Sigurnost-donacije MUP</t>
  </si>
  <si>
    <t>1016 Vanškolske aktivnosti za djecu Općine Šestanovac</t>
  </si>
  <si>
    <t>A100081 Vanškolske aktivnosti za djecu Općine Šestanovac</t>
  </si>
  <si>
    <t xml:space="preserve">     Obrazloženje čini sastavni dio Proračuna Općine Šestanovac za 2026. godinu i projekcija za 2027. i 2028. godinu.</t>
  </si>
  <si>
    <t>A100075 Šport i rekreacija</t>
  </si>
  <si>
    <r>
      <t xml:space="preserve">     U posebnom dijelu Proračuna rashodi u iznosu od 3.809.335,00 </t>
    </r>
    <r>
      <rPr>
        <sz val="10"/>
        <rFont val="Calibri"/>
        <family val="2"/>
        <charset val="238"/>
      </rPr>
      <t>€</t>
    </r>
    <r>
      <rPr>
        <sz val="10"/>
        <rFont val="Arial"/>
        <family val="2"/>
        <charset val="238"/>
      </rPr>
      <t xml:space="preserve"> raspoređuju se po lokacijskoj, programskoj i ekonomskoj klasifikaciji te izvorima financiranja kako slijedi:</t>
    </r>
  </si>
  <si>
    <t>OPĆINE ŠESTANOVAC ZA 2026. GODINU I PROJEKCIJE ZA 2027. I 2028. GODINU</t>
  </si>
  <si>
    <t xml:space="preserve">     Proračun Općine Šestanovac za 2026. godinu i projekcije za 2027. i 2028. godinu sastoji se od:</t>
  </si>
  <si>
    <t>OPĆI DIO PRORAČUNA 2026</t>
  </si>
  <si>
    <t xml:space="preserve">IZVRŠENJE 2024 </t>
  </si>
  <si>
    <t>PRORAČUN 2025 projicirano</t>
  </si>
  <si>
    <t>PRORAČUN 2026</t>
  </si>
  <si>
    <t xml:space="preserve">     U Proračunu Općine Šestanovca za 2026. godinu i projekcijama za 2027. i 2028. godinu planirani su prohodi i rashodi u Računu prihoda, rashoda i Računu financiranja prema ekonomskoj klasifikaciji i </t>
  </si>
  <si>
    <t>Projekcija proračuna za 2028</t>
  </si>
  <si>
    <t>index 28-27</t>
  </si>
  <si>
    <t xml:space="preserve">Prihodi od naplata kazni, upravnih mjera i ostali prihodi </t>
  </si>
  <si>
    <t>2028 EUR</t>
  </si>
  <si>
    <t>2028/2027</t>
  </si>
  <si>
    <t>K200034 Izrada projketne dokumentacije vrtić</t>
  </si>
  <si>
    <t>K200024 Sufinanciranje adaptacije stana Doma Zdravlja SDŽ</t>
  </si>
  <si>
    <t>Funkcijska klasifikacija 084 Vanškolske aktivnosti</t>
  </si>
  <si>
    <t>PRIJEDLOG PRORAČUNA 2026</t>
  </si>
  <si>
    <t>RAČUN FINANCIRANJA</t>
  </si>
  <si>
    <t>A100101 Sufinanciranje rada društava u vlasništvu općine Šestanovac</t>
  </si>
  <si>
    <t>A100071 Potpora za unaprjeđenje uvjeta stanovanja mladih obitelji</t>
  </si>
  <si>
    <t xml:space="preserve">K200005 Izgradnja školske športske dvorane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</si>
</sst>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n&quot;"/>
    <numFmt numFmtId="165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7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7"/>
      <name val="Times New Roman"/>
      <family val="1"/>
      <charset val="238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color indexed="1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4" borderId="2" applyNumberFormat="0" applyProtection="0">
      <alignment horizontal="left" vertical="center" wrapText="1" indent="1"/>
    </xf>
    <xf numFmtId="4" fontId="26" fillId="5" borderId="2" applyNumberFormat="0" applyProtection="0">
      <alignment horizontal="right" vertical="center"/>
    </xf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6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wrapText="1"/>
    </xf>
    <xf numFmtId="3" fontId="8" fillId="0" borderId="0" xfId="2" applyNumberFormat="1" applyFont="1" applyAlignment="1">
      <alignment horizontal="center"/>
    </xf>
    <xf numFmtId="0" fontId="10" fillId="0" borderId="1" xfId="2" applyFont="1" applyBorder="1" applyAlignment="1">
      <alignment horizontal="justify" vertical="center"/>
    </xf>
    <xf numFmtId="4" fontId="16" fillId="0" borderId="0" xfId="2" applyNumberFormat="1" applyFont="1" applyAlignment="1">
      <alignment wrapText="1"/>
    </xf>
    <xf numFmtId="0" fontId="17" fillId="0" borderId="0" xfId="2" applyFont="1" applyAlignment="1">
      <alignment wrapText="1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9" fillId="0" borderId="0" xfId="2" applyFont="1" applyAlignment="1">
      <alignment horizontal="justify" vertical="center"/>
    </xf>
    <xf numFmtId="0" fontId="13" fillId="0" borderId="0" xfId="2" applyFont="1" applyAlignment="1">
      <alignment horizontal="justify" vertical="center"/>
    </xf>
    <xf numFmtId="0" fontId="6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4" fontId="0" fillId="0" borderId="0" xfId="0" applyNumberFormat="1"/>
    <xf numFmtId="3" fontId="15" fillId="0" borderId="0" xfId="2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10" fontId="18" fillId="0" borderId="0" xfId="1" applyNumberFormat="1" applyFont="1"/>
    <xf numFmtId="4" fontId="18" fillId="0" borderId="0" xfId="0" applyNumberFormat="1" applyFont="1"/>
    <xf numFmtId="10" fontId="18" fillId="0" borderId="0" xfId="1" applyNumberFormat="1" applyFont="1" applyAlignment="1">
      <alignment horizontal="center" vertical="center"/>
    </xf>
    <xf numFmtId="164" fontId="0" fillId="0" borderId="0" xfId="0" applyNumberFormat="1"/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10" fontId="22" fillId="0" borderId="0" xfId="1" applyNumberFormat="1" applyFont="1"/>
    <xf numFmtId="4" fontId="22" fillId="0" borderId="0" xfId="0" applyNumberFormat="1" applyFont="1"/>
    <xf numFmtId="0" fontId="23" fillId="0" borderId="0" xfId="0" applyFont="1"/>
    <xf numFmtId="10" fontId="1" fillId="0" borderId="0" xfId="1" applyNumberFormat="1" applyFont="1"/>
    <xf numFmtId="10" fontId="1" fillId="0" borderId="0" xfId="1" applyNumberFormat="1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Protection="1">
      <protection locked="0"/>
    </xf>
    <xf numFmtId="10" fontId="24" fillId="0" borderId="0" xfId="1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24" fillId="0" borderId="0" xfId="1" quotePrefix="1" applyNumberFormat="1" applyFont="1" applyFill="1" applyAlignment="1">
      <alignment horizontal="center"/>
    </xf>
    <xf numFmtId="10" fontId="20" fillId="0" borderId="0" xfId="1" applyNumberFormat="1" applyFont="1" applyFill="1"/>
    <xf numFmtId="10" fontId="20" fillId="0" borderId="0" xfId="1" applyNumberFormat="1" applyFont="1" applyFill="1" applyAlignment="1">
      <alignment horizontal="center" vertical="center"/>
    </xf>
    <xf numFmtId="0" fontId="24" fillId="0" borderId="0" xfId="0" applyFont="1"/>
    <xf numFmtId="0" fontId="25" fillId="0" borderId="0" xfId="0" applyFont="1"/>
    <xf numFmtId="4" fontId="24" fillId="0" borderId="0" xfId="0" applyNumberFormat="1" applyFont="1"/>
    <xf numFmtId="10" fontId="24" fillId="0" borderId="0" xfId="1" applyNumberFormat="1" applyFont="1" applyFill="1" applyAlignment="1"/>
    <xf numFmtId="10" fontId="20" fillId="0" borderId="0" xfId="1" applyNumberFormat="1" applyFont="1" applyFill="1" applyAlignment="1"/>
    <xf numFmtId="0" fontId="0" fillId="3" borderId="0" xfId="0" applyFill="1"/>
    <xf numFmtId="0" fontId="20" fillId="3" borderId="0" xfId="0" applyFont="1" applyFill="1"/>
    <xf numFmtId="4" fontId="20" fillId="3" borderId="0" xfId="0" applyNumberFormat="1" applyFont="1" applyFill="1"/>
    <xf numFmtId="4" fontId="21" fillId="3" borderId="0" xfId="0" applyNumberFormat="1" applyFont="1" applyFill="1"/>
    <xf numFmtId="4" fontId="0" fillId="3" borderId="0" xfId="0" applyNumberFormat="1" applyFill="1"/>
    <xf numFmtId="10" fontId="20" fillId="3" borderId="0" xfId="1" applyNumberFormat="1" applyFont="1" applyFill="1" applyAlignment="1"/>
    <xf numFmtId="0" fontId="21" fillId="0" borderId="0" xfId="5" applyFont="1" applyAlignment="1">
      <alignment horizontal="center"/>
    </xf>
    <xf numFmtId="0" fontId="21" fillId="0" borderId="0" xfId="6" applyFont="1" applyFill="1" applyBorder="1" applyAlignment="1">
      <alignment wrapText="1"/>
    </xf>
    <xf numFmtId="0" fontId="21" fillId="0" borderId="0" xfId="0" applyFont="1"/>
    <xf numFmtId="10" fontId="20" fillId="0" borderId="0" xfId="1" applyNumberFormat="1" applyFont="1" applyFill="1" applyAlignment="1">
      <alignment horizontal="center"/>
    </xf>
    <xf numFmtId="164" fontId="21" fillId="0" borderId="0" xfId="0" applyNumberFormat="1" applyFont="1"/>
    <xf numFmtId="10" fontId="20" fillId="3" borderId="0" xfId="1" applyNumberFormat="1" applyFont="1" applyFill="1" applyAlignment="1">
      <alignment horizontal="center"/>
    </xf>
    <xf numFmtId="4" fontId="21" fillId="0" borderId="0" xfId="0" applyNumberFormat="1" applyFont="1" applyProtection="1">
      <protection locked="0"/>
    </xf>
    <xf numFmtId="0" fontId="20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0" fontId="21" fillId="3" borderId="0" xfId="0" applyFont="1" applyFill="1" applyProtection="1"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5" applyFont="1" applyAlignment="1">
      <alignment horizontal="center" vertical="center"/>
    </xf>
    <xf numFmtId="0" fontId="21" fillId="0" borderId="0" xfId="6" applyFont="1" applyFill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4" fontId="21" fillId="3" borderId="0" xfId="0" applyNumberFormat="1" applyFont="1" applyFill="1" applyProtection="1">
      <protection locked="0"/>
    </xf>
    <xf numFmtId="0" fontId="21" fillId="0" borderId="0" xfId="5" applyFont="1" applyAlignment="1">
      <alignment horizontal="center" vertical="center" wrapText="1"/>
    </xf>
    <xf numFmtId="0" fontId="25" fillId="0" borderId="0" xfId="0" applyFont="1" applyProtection="1">
      <protection locked="0"/>
    </xf>
    <xf numFmtId="164" fontId="2" fillId="0" borderId="0" xfId="0" applyNumberFormat="1" applyFont="1"/>
    <xf numFmtId="0" fontId="21" fillId="0" borderId="0" xfId="0" applyFont="1" applyProtection="1">
      <protection locked="0"/>
    </xf>
    <xf numFmtId="4" fontId="27" fillId="0" borderId="0" xfId="0" applyNumberFormat="1" applyFont="1"/>
    <xf numFmtId="0" fontId="20" fillId="0" borderId="0" xfId="0" applyFont="1" applyAlignment="1">
      <alignment horizontal="center" vertical="center"/>
    </xf>
    <xf numFmtId="4" fontId="20" fillId="3" borderId="0" xfId="0" applyNumberFormat="1" applyFont="1" applyFill="1" applyProtection="1">
      <protection locked="0"/>
    </xf>
    <xf numFmtId="0" fontId="28" fillId="6" borderId="0" xfId="0" applyFont="1" applyFill="1"/>
    <xf numFmtId="0" fontId="3" fillId="6" borderId="0" xfId="0" applyFont="1" applyFill="1"/>
    <xf numFmtId="4" fontId="24" fillId="6" borderId="0" xfId="0" applyNumberFormat="1" applyFont="1" applyFill="1"/>
    <xf numFmtId="10" fontId="24" fillId="6" borderId="0" xfId="1" applyNumberFormat="1" applyFont="1" applyFill="1" applyAlignment="1"/>
    <xf numFmtId="10" fontId="24" fillId="6" borderId="0" xfId="1" applyNumberFormat="1" applyFont="1" applyFill="1" applyAlignment="1">
      <alignment horizontal="center"/>
    </xf>
    <xf numFmtId="10" fontId="1" fillId="0" borderId="0" xfId="1" applyNumberFormat="1" applyFont="1" applyFill="1"/>
    <xf numFmtId="43" fontId="0" fillId="0" borderId="0" xfId="8" applyFont="1"/>
    <xf numFmtId="10" fontId="1" fillId="0" borderId="0" xfId="1" applyNumberFormat="1" applyFont="1" applyFill="1" applyAlignment="1">
      <alignment horizontal="center"/>
    </xf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4" fontId="12" fillId="0" borderId="0" xfId="2" applyNumberFormat="1" applyFont="1" applyAlignment="1">
      <alignment wrapText="1"/>
    </xf>
    <xf numFmtId="3" fontId="17" fillId="0" borderId="0" xfId="2" applyNumberFormat="1" applyFont="1"/>
    <xf numFmtId="3" fontId="29" fillId="0" borderId="0" xfId="2" applyNumberFormat="1" applyFont="1"/>
    <xf numFmtId="3" fontId="5" fillId="0" borderId="0" xfId="2" applyNumberFormat="1" applyFont="1"/>
    <xf numFmtId="4" fontId="5" fillId="0" borderId="0" xfId="2" applyNumberFormat="1" applyFont="1"/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4" fontId="16" fillId="0" borderId="0" xfId="2" applyNumberFormat="1" applyFont="1"/>
    <xf numFmtId="3" fontId="15" fillId="0" borderId="0" xfId="2" applyNumberFormat="1" applyFont="1"/>
    <xf numFmtId="0" fontId="29" fillId="0" borderId="0" xfId="2" applyFont="1" applyAlignment="1">
      <alignment vertical="center" wrapText="1"/>
    </xf>
    <xf numFmtId="0" fontId="30" fillId="0" borderId="0" xfId="0" applyFont="1"/>
    <xf numFmtId="0" fontId="32" fillId="0" borderId="0" xfId="0" applyFont="1"/>
    <xf numFmtId="3" fontId="12" fillId="0" borderId="0" xfId="2" applyNumberFormat="1" applyFont="1" applyAlignment="1">
      <alignment wrapText="1"/>
    </xf>
    <xf numFmtId="0" fontId="33" fillId="0" borderId="0" xfId="0" applyFont="1"/>
    <xf numFmtId="4" fontId="34" fillId="0" borderId="0" xfId="0" applyNumberFormat="1" applyFont="1"/>
    <xf numFmtId="0" fontId="35" fillId="0" borderId="0" xfId="0" applyFont="1"/>
    <xf numFmtId="0" fontId="7" fillId="0" borderId="0" xfId="3" applyFont="1"/>
    <xf numFmtId="0" fontId="16" fillId="0" borderId="0" xfId="3" applyFont="1"/>
    <xf numFmtId="0" fontId="10" fillId="0" borderId="1" xfId="2" applyFont="1" applyBorder="1" applyAlignment="1">
      <alignment horizontal="justify" vertical="center" wrapText="1"/>
    </xf>
    <xf numFmtId="0" fontId="12" fillId="0" borderId="1" xfId="4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2" applyFont="1" applyAlignment="1">
      <alignment horizontal="center"/>
    </xf>
    <xf numFmtId="0" fontId="29" fillId="0" borderId="0" xfId="2" applyFont="1" applyAlignment="1">
      <alignment wrapText="1"/>
    </xf>
    <xf numFmtId="3" fontId="29" fillId="0" borderId="0" xfId="2" applyNumberFormat="1" applyFont="1" applyAlignment="1">
      <alignment wrapText="1"/>
    </xf>
    <xf numFmtId="0" fontId="36" fillId="0" borderId="0" xfId="2" applyFont="1" applyAlignment="1">
      <alignment horizontal="left"/>
    </xf>
    <xf numFmtId="0" fontId="36" fillId="0" borderId="0" xfId="2" applyFont="1" applyAlignment="1">
      <alignment horizontal="center" vertical="top"/>
    </xf>
    <xf numFmtId="0" fontId="36" fillId="0" borderId="0" xfId="2" applyFont="1" applyAlignment="1">
      <alignment horizontal="left" vertical="top"/>
    </xf>
    <xf numFmtId="0" fontId="17" fillId="0" borderId="0" xfId="2" applyFont="1" applyAlignment="1">
      <alignment horizontal="justify" vertical="top" wrapText="1"/>
    </xf>
    <xf numFmtId="3" fontId="17" fillId="0" borderId="0" xfId="2" applyNumberFormat="1" applyFont="1" applyAlignment="1">
      <alignment vertical="top"/>
    </xf>
    <xf numFmtId="0" fontId="36" fillId="0" borderId="0" xfId="2" applyFont="1" applyAlignment="1">
      <alignment vertical="center"/>
    </xf>
    <xf numFmtId="0" fontId="36" fillId="0" borderId="0" xfId="2" applyFont="1" applyAlignment="1">
      <alignment horizontal="left" vertical="center"/>
    </xf>
    <xf numFmtId="3" fontId="29" fillId="0" borderId="0" xfId="2" applyNumberFormat="1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3" fontId="37" fillId="0" borderId="0" xfId="2" applyNumberFormat="1" applyFont="1" applyAlignment="1">
      <alignment vertical="center"/>
    </xf>
    <xf numFmtId="0" fontId="10" fillId="0" borderId="0" xfId="2" applyFont="1" applyAlignment="1">
      <alignment horizontal="justify" vertical="top"/>
    </xf>
    <xf numFmtId="0" fontId="10" fillId="0" borderId="0" xfId="2" applyFont="1" applyAlignment="1">
      <alignment horizontal="justify" vertical="center"/>
    </xf>
    <xf numFmtId="0" fontId="29" fillId="0" borderId="0" xfId="2" applyFont="1" applyAlignment="1">
      <alignment vertical="top" wrapText="1"/>
    </xf>
    <xf numFmtId="3" fontId="29" fillId="0" borderId="0" xfId="2" applyNumberFormat="1" applyFont="1" applyAlignment="1">
      <alignment vertical="top" wrapText="1"/>
    </xf>
    <xf numFmtId="0" fontId="38" fillId="2" borderId="0" xfId="0" applyFont="1" applyFill="1"/>
    <xf numFmtId="0" fontId="39" fillId="2" borderId="0" xfId="0" applyFont="1" applyFill="1"/>
    <xf numFmtId="4" fontId="40" fillId="2" borderId="0" xfId="0" applyNumberFormat="1" applyFont="1" applyFill="1"/>
    <xf numFmtId="4" fontId="32" fillId="0" borderId="0" xfId="0" applyNumberFormat="1" applyFont="1"/>
    <xf numFmtId="4" fontId="33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0" fontId="36" fillId="0" borderId="0" xfId="2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3" fillId="0" borderId="0" xfId="0" applyFont="1"/>
    <xf numFmtId="0" fontId="18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28" fillId="6" borderId="0" xfId="0" applyFont="1" applyFill="1" applyAlignment="1">
      <alignment horizontal="left" wrapText="1"/>
    </xf>
    <xf numFmtId="0" fontId="41" fillId="7" borderId="5" xfId="0" applyFont="1" applyFill="1" applyBorder="1" applyAlignment="1">
      <alignment horizontal="center"/>
    </xf>
    <xf numFmtId="0" fontId="41" fillId="7" borderId="5" xfId="0" applyFont="1" applyFill="1" applyBorder="1" applyAlignment="1">
      <alignment horizontal="center" vertical="center"/>
    </xf>
    <xf numFmtId="4" fontId="0" fillId="8" borderId="5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7" borderId="5" xfId="0" applyNumberFormat="1" applyFill="1" applyBorder="1"/>
    <xf numFmtId="0" fontId="3" fillId="0" borderId="0" xfId="0" applyFont="1" applyAlignment="1">
      <alignment horizontal="center" vertical="center"/>
    </xf>
    <xf numFmtId="43" fontId="20" fillId="3" borderId="0" xfId="8" applyFont="1" applyFill="1" applyAlignment="1"/>
    <xf numFmtId="43" fontId="20" fillId="0" borderId="0" xfId="8" applyFont="1"/>
    <xf numFmtId="43" fontId="3" fillId="0" borderId="0" xfId="8" applyFont="1"/>
    <xf numFmtId="43" fontId="24" fillId="0" borderId="0" xfId="8" applyFont="1"/>
    <xf numFmtId="0" fontId="3" fillId="7" borderId="4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4" fontId="0" fillId="7" borderId="10" xfId="0" applyNumberFormat="1" applyFill="1" applyBorder="1"/>
    <xf numFmtId="4" fontId="0" fillId="7" borderId="10" xfId="0" applyNumberForma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17" fillId="0" borderId="0" xfId="2" applyNumberFormat="1" applyFont="1" applyAlignment="1">
      <alignment vertical="center" wrapText="1"/>
    </xf>
    <xf numFmtId="0" fontId="10" fillId="0" borderId="1" xfId="2" applyFont="1" applyBorder="1" applyAlignment="1">
      <alignment horizontal="center" vertical="center"/>
    </xf>
    <xf numFmtId="3" fontId="15" fillId="0" borderId="0" xfId="2" applyNumberFormat="1" applyFont="1" applyAlignment="1">
      <alignment vertical="center"/>
    </xf>
    <xf numFmtId="3" fontId="21" fillId="0" borderId="0" xfId="6" applyNumberFormat="1" applyFont="1" applyFill="1" applyBorder="1" applyAlignment="1">
      <alignment vertical="center" wrapText="1"/>
    </xf>
    <xf numFmtId="3" fontId="0" fillId="0" borderId="0" xfId="0" applyNumberFormat="1"/>
    <xf numFmtId="4" fontId="19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/>
    <xf numFmtId="3" fontId="35" fillId="0" borderId="0" xfId="0" applyNumberFormat="1" applyFont="1"/>
    <xf numFmtId="43" fontId="22" fillId="0" borderId="0" xfId="8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6" fillId="3" borderId="0" xfId="3" applyNumberFormat="1" applyFont="1" applyFill="1"/>
    <xf numFmtId="4" fontId="46" fillId="0" borderId="0" xfId="3" applyNumberFormat="1" applyFont="1"/>
    <xf numFmtId="4" fontId="47" fillId="0" borderId="0" xfId="3" applyNumberFormat="1" applyFont="1"/>
    <xf numFmtId="4" fontId="27" fillId="0" borderId="0" xfId="3" applyNumberFormat="1" applyFont="1"/>
    <xf numFmtId="4" fontId="47" fillId="0" borderId="0" xfId="3" applyNumberFormat="1" applyFont="1" applyProtection="1">
      <protection locked="0"/>
    </xf>
    <xf numFmtId="4" fontId="41" fillId="0" borderId="0" xfId="0" applyNumberFormat="1" applyFont="1" applyAlignment="1">
      <alignment horizontal="center" vertical="center"/>
    </xf>
    <xf numFmtId="43" fontId="1" fillId="0" borderId="0" xfId="8" applyFont="1" applyFill="1"/>
    <xf numFmtId="165" fontId="32" fillId="0" borderId="0" xfId="8" applyNumberFormat="1" applyFont="1"/>
    <xf numFmtId="0" fontId="41" fillId="0" borderId="8" xfId="0" applyFont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0" fillId="8" borderId="10" xfId="0" applyFill="1" applyBorder="1" applyAlignment="1">
      <alignment horizontal="left"/>
    </xf>
    <xf numFmtId="0" fontId="0" fillId="7" borderId="5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9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0" xfId="0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0" xfId="0" quotePrefix="1" applyFont="1"/>
    <xf numFmtId="0" fontId="10" fillId="0" borderId="0" xfId="2" quotePrefix="1" applyFont="1" applyAlignment="1">
      <alignment horizontal="center" vertical="center"/>
    </xf>
  </cellXfs>
  <cellStyles count="9">
    <cellStyle name="Comma" xfId="8" builtinId="3"/>
    <cellStyle name="Normal" xfId="0" builtinId="0"/>
    <cellStyle name="Normal 2" xfId="3" xr:uid="{BC967827-DB26-4306-951F-B17668C6BA26}"/>
    <cellStyle name="Normal 2 4" xfId="5" xr:uid="{11A5CDA5-528D-40BD-8E3D-D6D1CE5502A4}"/>
    <cellStyle name="Obično_Bilanca prihoda" xfId="4" xr:uid="{B129A897-23D4-4596-8649-0AB732C54FA2}"/>
    <cellStyle name="Obično_PRIHODI 04. -07." xfId="2" xr:uid="{12F0F07B-5584-4208-BD09-6571A3F2C854}"/>
    <cellStyle name="Percent" xfId="1" builtinId="5"/>
    <cellStyle name="SAPBEXHLevel2" xfId="6" xr:uid="{7AE9AA34-65F1-45C7-9579-DAE8AB681B95}"/>
    <cellStyle name="SAPBEXstdData" xfId="7" xr:uid="{C9E419E2-7F52-45E7-9595-7B64BED12436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32C8-C2D1-41C8-8054-66CC0533FB9F}">
  <sheetPr>
    <tabColor rgb="FF92D050"/>
  </sheetPr>
  <dimension ref="A3:G43"/>
  <sheetViews>
    <sheetView tabSelected="1" topLeftCell="A22" workbookViewId="0">
      <selection activeCell="A24" sqref="A24"/>
    </sheetView>
  </sheetViews>
  <sheetFormatPr defaultRowHeight="14.4" x14ac:dyDescent="0.3"/>
  <cols>
    <col min="1" max="1" width="2" bestFit="1" customWidth="1"/>
    <col min="2" max="2" width="63.21875" customWidth="1"/>
    <col min="3" max="3" width="15.6640625" customWidth="1"/>
    <col min="4" max="4" width="20.88671875" customWidth="1"/>
    <col min="5" max="5" width="22.109375" customWidth="1"/>
    <col min="6" max="6" width="14.6640625" customWidth="1"/>
    <col min="7" max="7" width="19.77734375" customWidth="1"/>
  </cols>
  <sheetData>
    <row r="3" spans="1:7" x14ac:dyDescent="0.3">
      <c r="A3" s="202"/>
      <c r="B3" s="202"/>
      <c r="C3" s="202"/>
      <c r="D3" s="202"/>
      <c r="E3" s="202"/>
      <c r="F3" s="202"/>
      <c r="G3" s="202"/>
    </row>
    <row r="4" spans="1:7" x14ac:dyDescent="0.3">
      <c r="A4" s="202"/>
      <c r="B4" s="202"/>
      <c r="C4" s="202"/>
      <c r="D4" s="202"/>
      <c r="E4" s="202"/>
      <c r="F4" s="202"/>
      <c r="G4" s="202"/>
    </row>
    <row r="7" spans="1:7" ht="17.399999999999999" x14ac:dyDescent="0.3">
      <c r="A7" s="203" t="s">
        <v>221</v>
      </c>
      <c r="B7" s="203"/>
      <c r="C7" s="203"/>
      <c r="D7" s="203"/>
      <c r="E7" s="203"/>
      <c r="F7" s="203"/>
      <c r="G7" s="203"/>
    </row>
    <row r="8" spans="1:7" ht="15.6" x14ac:dyDescent="0.3">
      <c r="A8" s="207" t="s">
        <v>249</v>
      </c>
      <c r="B8" s="207"/>
      <c r="C8" s="207"/>
      <c r="D8" s="207"/>
      <c r="E8" s="207"/>
      <c r="F8" s="207"/>
      <c r="G8" s="207"/>
    </row>
    <row r="9" spans="1:7" ht="17.399999999999999" x14ac:dyDescent="0.3">
      <c r="A9" s="164"/>
      <c r="B9" s="164"/>
      <c r="C9" s="164"/>
      <c r="D9" s="164"/>
      <c r="E9" s="164"/>
      <c r="F9" s="164"/>
      <c r="G9" s="164"/>
    </row>
    <row r="10" spans="1:7" ht="15.6" x14ac:dyDescent="0.3">
      <c r="A10" s="165"/>
      <c r="B10" s="165"/>
      <c r="C10" s="165"/>
      <c r="D10" s="165"/>
      <c r="E10" s="165"/>
      <c r="F10" s="165"/>
      <c r="G10" s="165"/>
    </row>
    <row r="11" spans="1:7" x14ac:dyDescent="0.3">
      <c r="A11" s="204" t="s">
        <v>222</v>
      </c>
      <c r="B11" s="204"/>
      <c r="C11" s="204"/>
      <c r="D11" s="204"/>
      <c r="E11" s="204"/>
      <c r="F11" s="204"/>
      <c r="G11" s="204"/>
    </row>
    <row r="12" spans="1:7" ht="15.6" x14ac:dyDescent="0.3">
      <c r="A12" s="165"/>
      <c r="B12" s="165"/>
      <c r="C12" s="165"/>
      <c r="D12" s="165"/>
      <c r="E12" s="165"/>
      <c r="F12" s="165"/>
      <c r="G12" s="165"/>
    </row>
    <row r="13" spans="1:7" x14ac:dyDescent="0.3">
      <c r="A13" s="205" t="s">
        <v>250</v>
      </c>
      <c r="B13" s="205"/>
      <c r="C13" s="205"/>
      <c r="D13" s="205"/>
      <c r="E13" s="205"/>
      <c r="F13" s="205"/>
      <c r="G13" s="205"/>
    </row>
    <row r="14" spans="1:7" ht="15.6" x14ac:dyDescent="0.3">
      <c r="A14" s="165"/>
      <c r="B14" s="165"/>
      <c r="C14" s="165"/>
      <c r="D14" s="165"/>
      <c r="E14" s="165"/>
      <c r="F14" s="165"/>
      <c r="G14" s="165"/>
    </row>
    <row r="15" spans="1:7" x14ac:dyDescent="0.3">
      <c r="A15" s="206" t="s">
        <v>223</v>
      </c>
      <c r="B15" s="206"/>
      <c r="C15" s="206"/>
      <c r="D15" s="206"/>
      <c r="E15" s="206"/>
      <c r="F15" s="206"/>
      <c r="G15" s="206"/>
    </row>
    <row r="18" spans="1:7" x14ac:dyDescent="0.3">
      <c r="A18" s="188"/>
      <c r="B18" s="189"/>
      <c r="C18" s="159" t="s">
        <v>220</v>
      </c>
      <c r="D18" s="148" t="s">
        <v>181</v>
      </c>
      <c r="E18" s="148" t="s">
        <v>181</v>
      </c>
      <c r="F18" s="148" t="s">
        <v>182</v>
      </c>
      <c r="G18" s="148" t="s">
        <v>182</v>
      </c>
    </row>
    <row r="19" spans="1:7" x14ac:dyDescent="0.3">
      <c r="A19" s="190"/>
      <c r="B19" s="191"/>
      <c r="C19" s="160">
        <v>2024</v>
      </c>
      <c r="D19" s="149">
        <v>2025</v>
      </c>
      <c r="E19" s="149">
        <v>2026</v>
      </c>
      <c r="F19" s="149">
        <v>2027</v>
      </c>
      <c r="G19" s="149">
        <v>2028</v>
      </c>
    </row>
    <row r="21" spans="1:7" x14ac:dyDescent="0.3">
      <c r="A21" s="187" t="s">
        <v>183</v>
      </c>
      <c r="B21" s="187"/>
      <c r="C21" s="187"/>
      <c r="D21" s="187"/>
      <c r="E21" s="187"/>
      <c r="F21" s="187"/>
      <c r="G21" s="187"/>
    </row>
    <row r="22" spans="1:7" x14ac:dyDescent="0.3">
      <c r="A22" s="192" t="s">
        <v>184</v>
      </c>
      <c r="B22" s="193"/>
      <c r="C22" s="150">
        <f>+SUM(C23:C24)</f>
        <v>2157729.6</v>
      </c>
      <c r="D22" s="150">
        <f>SUM(D23:D24)</f>
        <v>3561100.0024008984</v>
      </c>
      <c r="E22" s="150">
        <f>SUM(E23:E24)</f>
        <v>3734335</v>
      </c>
      <c r="F22" s="150">
        <f>SUM(F23:F24)</f>
        <v>3892303</v>
      </c>
      <c r="G22" s="150">
        <f>SUM(G23:G24)</f>
        <v>3760650</v>
      </c>
    </row>
    <row r="23" spans="1:7" x14ac:dyDescent="0.3">
      <c r="A23" s="151" t="s">
        <v>8</v>
      </c>
      <c r="B23" s="151" t="s">
        <v>185</v>
      </c>
      <c r="C23" s="152">
        <v>2145077.11</v>
      </c>
      <c r="D23" s="152">
        <v>3546793.2213398721</v>
      </c>
      <c r="E23" s="152">
        <v>3734335</v>
      </c>
      <c r="F23" s="152">
        <v>3892303</v>
      </c>
      <c r="G23" s="152">
        <v>3760650</v>
      </c>
    </row>
    <row r="24" spans="1:7" x14ac:dyDescent="0.3">
      <c r="A24" s="151" t="s">
        <v>17</v>
      </c>
      <c r="B24" s="151" t="s">
        <v>186</v>
      </c>
      <c r="C24" s="16">
        <v>12652.49</v>
      </c>
      <c r="D24" s="152">
        <v>14306.781061026079</v>
      </c>
      <c r="E24" s="152">
        <v>0</v>
      </c>
      <c r="F24" s="152">
        <v>0</v>
      </c>
      <c r="G24" s="152">
        <v>0</v>
      </c>
    </row>
    <row r="25" spans="1:7" x14ac:dyDescent="0.3">
      <c r="A25" s="192" t="s">
        <v>187</v>
      </c>
      <c r="B25" s="194"/>
      <c r="C25" s="150">
        <f>+SUM(C26:C27)</f>
        <v>1830253.5300000003</v>
      </c>
      <c r="D25" s="150">
        <f>SUM(D26:D27)</f>
        <v>3536100</v>
      </c>
      <c r="E25" s="150">
        <f>SUM(E26:E27)</f>
        <v>3734335</v>
      </c>
      <c r="F25" s="150">
        <f>SUM(F26:F27)</f>
        <v>3892303</v>
      </c>
      <c r="G25" s="150">
        <f>SUM(G26:G27)</f>
        <v>3760650</v>
      </c>
    </row>
    <row r="26" spans="1:7" x14ac:dyDescent="0.3">
      <c r="A26" s="151" t="s">
        <v>188</v>
      </c>
      <c r="B26" s="151" t="s">
        <v>189</v>
      </c>
      <c r="C26" s="152">
        <v>1172138.1200000001</v>
      </c>
      <c r="D26" s="152">
        <v>2380700</v>
      </c>
      <c r="E26" s="152">
        <v>2439165</v>
      </c>
      <c r="F26" s="152">
        <v>2470253</v>
      </c>
      <c r="G26" s="152">
        <v>2369010</v>
      </c>
    </row>
    <row r="27" spans="1:7" x14ac:dyDescent="0.3">
      <c r="A27" s="151" t="s">
        <v>190</v>
      </c>
      <c r="B27" s="151" t="s">
        <v>191</v>
      </c>
      <c r="C27" s="152">
        <v>658115.41</v>
      </c>
      <c r="D27" s="152">
        <v>1155400</v>
      </c>
      <c r="E27" s="152">
        <v>1295170</v>
      </c>
      <c r="F27" s="152">
        <v>1422050</v>
      </c>
      <c r="G27" s="152">
        <v>1391640</v>
      </c>
    </row>
    <row r="28" spans="1:7" x14ac:dyDescent="0.3">
      <c r="A28" s="195" t="s">
        <v>192</v>
      </c>
      <c r="B28" s="195" t="s">
        <v>9</v>
      </c>
      <c r="C28" s="153">
        <f>C22-C25</f>
        <v>327476.06999999983</v>
      </c>
      <c r="D28" s="153">
        <f>D22-D25</f>
        <v>25000.002400898375</v>
      </c>
      <c r="E28" s="153">
        <f>E22-E25</f>
        <v>0</v>
      </c>
      <c r="F28" s="153">
        <f>F22-F25</f>
        <v>0</v>
      </c>
      <c r="G28" s="153">
        <f>G22-G25</f>
        <v>0</v>
      </c>
    </row>
    <row r="30" spans="1:7" x14ac:dyDescent="0.3">
      <c r="A30" s="187" t="s">
        <v>193</v>
      </c>
      <c r="B30" s="187"/>
      <c r="C30" s="187"/>
      <c r="D30" s="187"/>
      <c r="E30" s="187"/>
      <c r="F30" s="187"/>
      <c r="G30" s="187"/>
    </row>
    <row r="31" spans="1:7" x14ac:dyDescent="0.3">
      <c r="A31" s="151" t="s">
        <v>194</v>
      </c>
      <c r="B31" s="151" t="s">
        <v>195</v>
      </c>
      <c r="C31" s="152">
        <v>0</v>
      </c>
      <c r="D31" s="152">
        <v>130000</v>
      </c>
      <c r="E31" s="152">
        <f>+'Račun financiranja'!G7</f>
        <v>0</v>
      </c>
      <c r="F31" s="152">
        <v>0</v>
      </c>
      <c r="G31" s="152">
        <v>0</v>
      </c>
    </row>
    <row r="32" spans="1:7" x14ac:dyDescent="0.3">
      <c r="A32" s="151" t="s">
        <v>196</v>
      </c>
      <c r="B32" s="151" t="s">
        <v>197</v>
      </c>
      <c r="C32" s="152">
        <v>5500</v>
      </c>
      <c r="D32" s="152">
        <v>155000</v>
      </c>
      <c r="E32" s="152">
        <f>+'Račun financiranja'!G12</f>
        <v>0</v>
      </c>
      <c r="F32" s="152">
        <v>0</v>
      </c>
      <c r="G32" s="152">
        <v>0</v>
      </c>
    </row>
    <row r="33" spans="1:7" x14ac:dyDescent="0.3">
      <c r="A33" s="195" t="s">
        <v>198</v>
      </c>
      <c r="B33" s="195" t="s">
        <v>9</v>
      </c>
      <c r="C33" s="153">
        <f>C31-C32</f>
        <v>-5500</v>
      </c>
      <c r="D33" s="153">
        <f>D31-D32</f>
        <v>-25000</v>
      </c>
      <c r="E33" s="153">
        <f>E31-E32</f>
        <v>0</v>
      </c>
      <c r="F33" s="153">
        <f>F31-F32</f>
        <v>0</v>
      </c>
      <c r="G33" s="153">
        <f>G31-G32</f>
        <v>0</v>
      </c>
    </row>
    <row r="35" spans="1:7" x14ac:dyDescent="0.3">
      <c r="A35" s="187" t="s">
        <v>199</v>
      </c>
      <c r="B35" s="187"/>
      <c r="C35" s="187"/>
      <c r="D35" s="187"/>
      <c r="E35" s="187"/>
      <c r="F35" s="187"/>
      <c r="G35" s="187"/>
    </row>
    <row r="36" spans="1:7" x14ac:dyDescent="0.3">
      <c r="A36" s="196" t="s">
        <v>200</v>
      </c>
      <c r="B36" s="197"/>
      <c r="C36" s="161">
        <v>834754.86</v>
      </c>
      <c r="D36" s="153">
        <f>+C39</f>
        <v>1156730.9299999997</v>
      </c>
      <c r="E36" s="153">
        <f>+D36</f>
        <v>1156730.9299999997</v>
      </c>
      <c r="F36" s="153">
        <f>+E36</f>
        <v>1156730.9299999997</v>
      </c>
      <c r="G36" s="153">
        <f>+F36</f>
        <v>1156730.9299999997</v>
      </c>
    </row>
    <row r="37" spans="1:7" x14ac:dyDescent="0.3">
      <c r="A37" s="198" t="s">
        <v>201</v>
      </c>
      <c r="B37" s="199"/>
      <c r="C37" s="162">
        <v>0</v>
      </c>
      <c r="D37" s="153">
        <v>0</v>
      </c>
      <c r="E37" s="153">
        <f>+D37</f>
        <v>0</v>
      </c>
      <c r="F37" s="153">
        <v>0</v>
      </c>
      <c r="G37" s="153">
        <v>0</v>
      </c>
    </row>
    <row r="39" spans="1:7" x14ac:dyDescent="0.3">
      <c r="A39" s="200" t="s">
        <v>202</v>
      </c>
      <c r="B39" s="201"/>
      <c r="C39" s="153">
        <f>C28+C33+C36</f>
        <v>1156730.9299999997</v>
      </c>
      <c r="D39" s="153">
        <f t="shared" ref="D39:G39" si="0">D28+D33+D36</f>
        <v>1156730.9324008981</v>
      </c>
      <c r="E39" s="153">
        <f t="shared" si="0"/>
        <v>1156730.9299999997</v>
      </c>
      <c r="F39" s="153">
        <f t="shared" si="0"/>
        <v>1156730.9299999997</v>
      </c>
      <c r="G39" s="153">
        <f t="shared" si="0"/>
        <v>1156730.9299999997</v>
      </c>
    </row>
    <row r="42" spans="1:7" x14ac:dyDescent="0.3">
      <c r="C42" s="16"/>
    </row>
    <row r="43" spans="1:7" x14ac:dyDescent="0.3">
      <c r="C43" s="16"/>
    </row>
  </sheetData>
  <mergeCells count="18">
    <mergeCell ref="A3:G3"/>
    <mergeCell ref="A7:G7"/>
    <mergeCell ref="A11:G11"/>
    <mergeCell ref="A13:G13"/>
    <mergeCell ref="A15:G15"/>
    <mergeCell ref="A4:G4"/>
    <mergeCell ref="A8:G8"/>
    <mergeCell ref="A33:B33"/>
    <mergeCell ref="A35:G35"/>
    <mergeCell ref="A36:B36"/>
    <mergeCell ref="A37:B37"/>
    <mergeCell ref="A39:B39"/>
    <mergeCell ref="A30:G30"/>
    <mergeCell ref="A18:B19"/>
    <mergeCell ref="A21:G21"/>
    <mergeCell ref="A22:B22"/>
    <mergeCell ref="A25:B25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C539-9DF5-4B7F-A4EE-2211F87F4B8C}">
  <sheetPr>
    <tabColor rgb="FF92D050"/>
    <pageSetUpPr fitToPage="1"/>
  </sheetPr>
  <dimension ref="A2:P79"/>
  <sheetViews>
    <sheetView topLeftCell="B28" zoomScaleNormal="100" workbookViewId="0">
      <selection activeCell="I38" sqref="I38"/>
    </sheetView>
  </sheetViews>
  <sheetFormatPr defaultRowHeight="13.8" x14ac:dyDescent="0.25"/>
  <cols>
    <col min="1" max="1" width="36.21875" style="104" bestFit="1" customWidth="1"/>
    <col min="2" max="2" width="3.77734375" style="104" bestFit="1" customWidth="1"/>
    <col min="3" max="3" width="31.44140625" style="104" bestFit="1" customWidth="1"/>
    <col min="4" max="4" width="61.109375" style="104" bestFit="1" customWidth="1"/>
    <col min="5" max="5" width="11.77734375" style="104" bestFit="1" customWidth="1"/>
    <col min="6" max="6" width="12.88671875" style="106" customWidth="1"/>
    <col min="7" max="7" width="12.109375" style="106" customWidth="1"/>
    <col min="8" max="8" width="7.5546875" style="106" customWidth="1"/>
    <col min="9" max="9" width="14.33203125" style="106" customWidth="1"/>
    <col min="10" max="10" width="8.21875" style="106" customWidth="1"/>
    <col min="11" max="11" width="14.77734375" style="106" customWidth="1"/>
    <col min="12" max="12" width="5.21875" style="106" bestFit="1" customWidth="1"/>
    <col min="13" max="13" width="16.109375" style="104" customWidth="1"/>
    <col min="14" max="14" width="12.6640625" style="104" bestFit="1" customWidth="1"/>
    <col min="15" max="256" width="8.88671875" style="104"/>
    <col min="257" max="257" width="36.21875" style="104" bestFit="1" customWidth="1"/>
    <col min="258" max="258" width="3.77734375" style="104" bestFit="1" customWidth="1"/>
    <col min="259" max="260" width="4.77734375" style="104" customWidth="1"/>
    <col min="261" max="261" width="37.109375" style="104" bestFit="1" customWidth="1"/>
    <col min="262" max="262" width="12.88671875" style="104" customWidth="1"/>
    <col min="263" max="263" width="12.109375" style="104" customWidth="1"/>
    <col min="264" max="264" width="7.5546875" style="104" customWidth="1"/>
    <col min="265" max="265" width="14.33203125" style="104" customWidth="1"/>
    <col min="266" max="266" width="8.21875" style="104" customWidth="1"/>
    <col min="267" max="267" width="14.77734375" style="104" customWidth="1"/>
    <col min="268" max="268" width="5.21875" style="104" bestFit="1" customWidth="1"/>
    <col min="269" max="269" width="16.109375" style="104" customWidth="1"/>
    <col min="270" max="270" width="12.6640625" style="104" bestFit="1" customWidth="1"/>
    <col min="271" max="512" width="8.88671875" style="104"/>
    <col min="513" max="513" width="36.21875" style="104" bestFit="1" customWidth="1"/>
    <col min="514" max="514" width="3.77734375" style="104" bestFit="1" customWidth="1"/>
    <col min="515" max="516" width="4.77734375" style="104" customWidth="1"/>
    <col min="517" max="517" width="37.109375" style="104" bestFit="1" customWidth="1"/>
    <col min="518" max="518" width="12.88671875" style="104" customWidth="1"/>
    <col min="519" max="519" width="12.109375" style="104" customWidth="1"/>
    <col min="520" max="520" width="7.5546875" style="104" customWidth="1"/>
    <col min="521" max="521" width="14.33203125" style="104" customWidth="1"/>
    <col min="522" max="522" width="8.21875" style="104" customWidth="1"/>
    <col min="523" max="523" width="14.77734375" style="104" customWidth="1"/>
    <col min="524" max="524" width="5.21875" style="104" bestFit="1" customWidth="1"/>
    <col min="525" max="525" width="16.109375" style="104" customWidth="1"/>
    <col min="526" max="526" width="12.6640625" style="104" bestFit="1" customWidth="1"/>
    <col min="527" max="768" width="8.88671875" style="104"/>
    <col min="769" max="769" width="36.21875" style="104" bestFit="1" customWidth="1"/>
    <col min="770" max="770" width="3.77734375" style="104" bestFit="1" customWidth="1"/>
    <col min="771" max="772" width="4.77734375" style="104" customWidth="1"/>
    <col min="773" max="773" width="37.109375" style="104" bestFit="1" customWidth="1"/>
    <col min="774" max="774" width="12.88671875" style="104" customWidth="1"/>
    <col min="775" max="775" width="12.109375" style="104" customWidth="1"/>
    <col min="776" max="776" width="7.5546875" style="104" customWidth="1"/>
    <col min="777" max="777" width="14.33203125" style="104" customWidth="1"/>
    <col min="778" max="778" width="8.21875" style="104" customWidth="1"/>
    <col min="779" max="779" width="14.77734375" style="104" customWidth="1"/>
    <col min="780" max="780" width="5.21875" style="104" bestFit="1" customWidth="1"/>
    <col min="781" max="781" width="16.109375" style="104" customWidth="1"/>
    <col min="782" max="782" width="12.6640625" style="104" bestFit="1" customWidth="1"/>
    <col min="783" max="1024" width="8.88671875" style="104"/>
    <col min="1025" max="1025" width="36.21875" style="104" bestFit="1" customWidth="1"/>
    <col min="1026" max="1026" width="3.77734375" style="104" bestFit="1" customWidth="1"/>
    <col min="1027" max="1028" width="4.77734375" style="104" customWidth="1"/>
    <col min="1029" max="1029" width="37.109375" style="104" bestFit="1" customWidth="1"/>
    <col min="1030" max="1030" width="12.88671875" style="104" customWidth="1"/>
    <col min="1031" max="1031" width="12.109375" style="104" customWidth="1"/>
    <col min="1032" max="1032" width="7.5546875" style="104" customWidth="1"/>
    <col min="1033" max="1033" width="14.33203125" style="104" customWidth="1"/>
    <col min="1034" max="1034" width="8.21875" style="104" customWidth="1"/>
    <col min="1035" max="1035" width="14.77734375" style="104" customWidth="1"/>
    <col min="1036" max="1036" width="5.21875" style="104" bestFit="1" customWidth="1"/>
    <col min="1037" max="1037" width="16.109375" style="104" customWidth="1"/>
    <col min="1038" max="1038" width="12.6640625" style="104" bestFit="1" customWidth="1"/>
    <col min="1039" max="1280" width="8.88671875" style="104"/>
    <col min="1281" max="1281" width="36.21875" style="104" bestFit="1" customWidth="1"/>
    <col min="1282" max="1282" width="3.77734375" style="104" bestFit="1" customWidth="1"/>
    <col min="1283" max="1284" width="4.77734375" style="104" customWidth="1"/>
    <col min="1285" max="1285" width="37.109375" style="104" bestFit="1" customWidth="1"/>
    <col min="1286" max="1286" width="12.88671875" style="104" customWidth="1"/>
    <col min="1287" max="1287" width="12.109375" style="104" customWidth="1"/>
    <col min="1288" max="1288" width="7.5546875" style="104" customWidth="1"/>
    <col min="1289" max="1289" width="14.33203125" style="104" customWidth="1"/>
    <col min="1290" max="1290" width="8.21875" style="104" customWidth="1"/>
    <col min="1291" max="1291" width="14.77734375" style="104" customWidth="1"/>
    <col min="1292" max="1292" width="5.21875" style="104" bestFit="1" customWidth="1"/>
    <col min="1293" max="1293" width="16.109375" style="104" customWidth="1"/>
    <col min="1294" max="1294" width="12.6640625" style="104" bestFit="1" customWidth="1"/>
    <col min="1295" max="1536" width="8.88671875" style="104"/>
    <col min="1537" max="1537" width="36.21875" style="104" bestFit="1" customWidth="1"/>
    <col min="1538" max="1538" width="3.77734375" style="104" bestFit="1" customWidth="1"/>
    <col min="1539" max="1540" width="4.77734375" style="104" customWidth="1"/>
    <col min="1541" max="1541" width="37.109375" style="104" bestFit="1" customWidth="1"/>
    <col min="1542" max="1542" width="12.88671875" style="104" customWidth="1"/>
    <col min="1543" max="1543" width="12.109375" style="104" customWidth="1"/>
    <col min="1544" max="1544" width="7.5546875" style="104" customWidth="1"/>
    <col min="1545" max="1545" width="14.33203125" style="104" customWidth="1"/>
    <col min="1546" max="1546" width="8.21875" style="104" customWidth="1"/>
    <col min="1547" max="1547" width="14.77734375" style="104" customWidth="1"/>
    <col min="1548" max="1548" width="5.21875" style="104" bestFit="1" customWidth="1"/>
    <col min="1549" max="1549" width="16.109375" style="104" customWidth="1"/>
    <col min="1550" max="1550" width="12.6640625" style="104" bestFit="1" customWidth="1"/>
    <col min="1551" max="1792" width="8.88671875" style="104"/>
    <col min="1793" max="1793" width="36.21875" style="104" bestFit="1" customWidth="1"/>
    <col min="1794" max="1794" width="3.77734375" style="104" bestFit="1" customWidth="1"/>
    <col min="1795" max="1796" width="4.77734375" style="104" customWidth="1"/>
    <col min="1797" max="1797" width="37.109375" style="104" bestFit="1" customWidth="1"/>
    <col min="1798" max="1798" width="12.88671875" style="104" customWidth="1"/>
    <col min="1799" max="1799" width="12.109375" style="104" customWidth="1"/>
    <col min="1800" max="1800" width="7.5546875" style="104" customWidth="1"/>
    <col min="1801" max="1801" width="14.33203125" style="104" customWidth="1"/>
    <col min="1802" max="1802" width="8.21875" style="104" customWidth="1"/>
    <col min="1803" max="1803" width="14.77734375" style="104" customWidth="1"/>
    <col min="1804" max="1804" width="5.21875" style="104" bestFit="1" customWidth="1"/>
    <col min="1805" max="1805" width="16.109375" style="104" customWidth="1"/>
    <col min="1806" max="1806" width="12.6640625" style="104" bestFit="1" customWidth="1"/>
    <col min="1807" max="2048" width="8.88671875" style="104"/>
    <col min="2049" max="2049" width="36.21875" style="104" bestFit="1" customWidth="1"/>
    <col min="2050" max="2050" width="3.77734375" style="104" bestFit="1" customWidth="1"/>
    <col min="2051" max="2052" width="4.77734375" style="104" customWidth="1"/>
    <col min="2053" max="2053" width="37.109375" style="104" bestFit="1" customWidth="1"/>
    <col min="2054" max="2054" width="12.88671875" style="104" customWidth="1"/>
    <col min="2055" max="2055" width="12.109375" style="104" customWidth="1"/>
    <col min="2056" max="2056" width="7.5546875" style="104" customWidth="1"/>
    <col min="2057" max="2057" width="14.33203125" style="104" customWidth="1"/>
    <col min="2058" max="2058" width="8.21875" style="104" customWidth="1"/>
    <col min="2059" max="2059" width="14.77734375" style="104" customWidth="1"/>
    <col min="2060" max="2060" width="5.21875" style="104" bestFit="1" customWidth="1"/>
    <col min="2061" max="2061" width="16.109375" style="104" customWidth="1"/>
    <col min="2062" max="2062" width="12.6640625" style="104" bestFit="1" customWidth="1"/>
    <col min="2063" max="2304" width="8.88671875" style="104"/>
    <col min="2305" max="2305" width="36.21875" style="104" bestFit="1" customWidth="1"/>
    <col min="2306" max="2306" width="3.77734375" style="104" bestFit="1" customWidth="1"/>
    <col min="2307" max="2308" width="4.77734375" style="104" customWidth="1"/>
    <col min="2309" max="2309" width="37.109375" style="104" bestFit="1" customWidth="1"/>
    <col min="2310" max="2310" width="12.88671875" style="104" customWidth="1"/>
    <col min="2311" max="2311" width="12.109375" style="104" customWidth="1"/>
    <col min="2312" max="2312" width="7.5546875" style="104" customWidth="1"/>
    <col min="2313" max="2313" width="14.33203125" style="104" customWidth="1"/>
    <col min="2314" max="2314" width="8.21875" style="104" customWidth="1"/>
    <col min="2315" max="2315" width="14.77734375" style="104" customWidth="1"/>
    <col min="2316" max="2316" width="5.21875" style="104" bestFit="1" customWidth="1"/>
    <col min="2317" max="2317" width="16.109375" style="104" customWidth="1"/>
    <col min="2318" max="2318" width="12.6640625" style="104" bestFit="1" customWidth="1"/>
    <col min="2319" max="2560" width="8.88671875" style="104"/>
    <col min="2561" max="2561" width="36.21875" style="104" bestFit="1" customWidth="1"/>
    <col min="2562" max="2562" width="3.77734375" style="104" bestFit="1" customWidth="1"/>
    <col min="2563" max="2564" width="4.77734375" style="104" customWidth="1"/>
    <col min="2565" max="2565" width="37.109375" style="104" bestFit="1" customWidth="1"/>
    <col min="2566" max="2566" width="12.88671875" style="104" customWidth="1"/>
    <col min="2567" max="2567" width="12.109375" style="104" customWidth="1"/>
    <col min="2568" max="2568" width="7.5546875" style="104" customWidth="1"/>
    <col min="2569" max="2569" width="14.33203125" style="104" customWidth="1"/>
    <col min="2570" max="2570" width="8.21875" style="104" customWidth="1"/>
    <col min="2571" max="2571" width="14.77734375" style="104" customWidth="1"/>
    <col min="2572" max="2572" width="5.21875" style="104" bestFit="1" customWidth="1"/>
    <col min="2573" max="2573" width="16.109375" style="104" customWidth="1"/>
    <col min="2574" max="2574" width="12.6640625" style="104" bestFit="1" customWidth="1"/>
    <col min="2575" max="2816" width="8.88671875" style="104"/>
    <col min="2817" max="2817" width="36.21875" style="104" bestFit="1" customWidth="1"/>
    <col min="2818" max="2818" width="3.77734375" style="104" bestFit="1" customWidth="1"/>
    <col min="2819" max="2820" width="4.77734375" style="104" customWidth="1"/>
    <col min="2821" max="2821" width="37.109375" style="104" bestFit="1" customWidth="1"/>
    <col min="2822" max="2822" width="12.88671875" style="104" customWidth="1"/>
    <col min="2823" max="2823" width="12.109375" style="104" customWidth="1"/>
    <col min="2824" max="2824" width="7.5546875" style="104" customWidth="1"/>
    <col min="2825" max="2825" width="14.33203125" style="104" customWidth="1"/>
    <col min="2826" max="2826" width="8.21875" style="104" customWidth="1"/>
    <col min="2827" max="2827" width="14.77734375" style="104" customWidth="1"/>
    <col min="2828" max="2828" width="5.21875" style="104" bestFit="1" customWidth="1"/>
    <col min="2829" max="2829" width="16.109375" style="104" customWidth="1"/>
    <col min="2830" max="2830" width="12.6640625" style="104" bestFit="1" customWidth="1"/>
    <col min="2831" max="3072" width="8.88671875" style="104"/>
    <col min="3073" max="3073" width="36.21875" style="104" bestFit="1" customWidth="1"/>
    <col min="3074" max="3074" width="3.77734375" style="104" bestFit="1" customWidth="1"/>
    <col min="3075" max="3076" width="4.77734375" style="104" customWidth="1"/>
    <col min="3077" max="3077" width="37.109375" style="104" bestFit="1" customWidth="1"/>
    <col min="3078" max="3078" width="12.88671875" style="104" customWidth="1"/>
    <col min="3079" max="3079" width="12.109375" style="104" customWidth="1"/>
    <col min="3080" max="3080" width="7.5546875" style="104" customWidth="1"/>
    <col min="3081" max="3081" width="14.33203125" style="104" customWidth="1"/>
    <col min="3082" max="3082" width="8.21875" style="104" customWidth="1"/>
    <col min="3083" max="3083" width="14.77734375" style="104" customWidth="1"/>
    <col min="3084" max="3084" width="5.21875" style="104" bestFit="1" customWidth="1"/>
    <col min="3085" max="3085" width="16.109375" style="104" customWidth="1"/>
    <col min="3086" max="3086" width="12.6640625" style="104" bestFit="1" customWidth="1"/>
    <col min="3087" max="3328" width="8.88671875" style="104"/>
    <col min="3329" max="3329" width="36.21875" style="104" bestFit="1" customWidth="1"/>
    <col min="3330" max="3330" width="3.77734375" style="104" bestFit="1" customWidth="1"/>
    <col min="3331" max="3332" width="4.77734375" style="104" customWidth="1"/>
    <col min="3333" max="3333" width="37.109375" style="104" bestFit="1" customWidth="1"/>
    <col min="3334" max="3334" width="12.88671875" style="104" customWidth="1"/>
    <col min="3335" max="3335" width="12.109375" style="104" customWidth="1"/>
    <col min="3336" max="3336" width="7.5546875" style="104" customWidth="1"/>
    <col min="3337" max="3337" width="14.33203125" style="104" customWidth="1"/>
    <col min="3338" max="3338" width="8.21875" style="104" customWidth="1"/>
    <col min="3339" max="3339" width="14.77734375" style="104" customWidth="1"/>
    <col min="3340" max="3340" width="5.21875" style="104" bestFit="1" customWidth="1"/>
    <col min="3341" max="3341" width="16.109375" style="104" customWidth="1"/>
    <col min="3342" max="3342" width="12.6640625" style="104" bestFit="1" customWidth="1"/>
    <col min="3343" max="3584" width="8.88671875" style="104"/>
    <col min="3585" max="3585" width="36.21875" style="104" bestFit="1" customWidth="1"/>
    <col min="3586" max="3586" width="3.77734375" style="104" bestFit="1" customWidth="1"/>
    <col min="3587" max="3588" width="4.77734375" style="104" customWidth="1"/>
    <col min="3589" max="3589" width="37.109375" style="104" bestFit="1" customWidth="1"/>
    <col min="3590" max="3590" width="12.88671875" style="104" customWidth="1"/>
    <col min="3591" max="3591" width="12.109375" style="104" customWidth="1"/>
    <col min="3592" max="3592" width="7.5546875" style="104" customWidth="1"/>
    <col min="3593" max="3593" width="14.33203125" style="104" customWidth="1"/>
    <col min="3594" max="3594" width="8.21875" style="104" customWidth="1"/>
    <col min="3595" max="3595" width="14.77734375" style="104" customWidth="1"/>
    <col min="3596" max="3596" width="5.21875" style="104" bestFit="1" customWidth="1"/>
    <col min="3597" max="3597" width="16.109375" style="104" customWidth="1"/>
    <col min="3598" max="3598" width="12.6640625" style="104" bestFit="1" customWidth="1"/>
    <col min="3599" max="3840" width="8.88671875" style="104"/>
    <col min="3841" max="3841" width="36.21875" style="104" bestFit="1" customWidth="1"/>
    <col min="3842" max="3842" width="3.77734375" style="104" bestFit="1" customWidth="1"/>
    <col min="3843" max="3844" width="4.77734375" style="104" customWidth="1"/>
    <col min="3845" max="3845" width="37.109375" style="104" bestFit="1" customWidth="1"/>
    <col min="3846" max="3846" width="12.88671875" style="104" customWidth="1"/>
    <col min="3847" max="3847" width="12.109375" style="104" customWidth="1"/>
    <col min="3848" max="3848" width="7.5546875" style="104" customWidth="1"/>
    <col min="3849" max="3849" width="14.33203125" style="104" customWidth="1"/>
    <col min="3850" max="3850" width="8.21875" style="104" customWidth="1"/>
    <col min="3851" max="3851" width="14.77734375" style="104" customWidth="1"/>
    <col min="3852" max="3852" width="5.21875" style="104" bestFit="1" customWidth="1"/>
    <col min="3853" max="3853" width="16.109375" style="104" customWidth="1"/>
    <col min="3854" max="3854" width="12.6640625" style="104" bestFit="1" customWidth="1"/>
    <col min="3855" max="4096" width="8.88671875" style="104"/>
    <col min="4097" max="4097" width="36.21875" style="104" bestFit="1" customWidth="1"/>
    <col min="4098" max="4098" width="3.77734375" style="104" bestFit="1" customWidth="1"/>
    <col min="4099" max="4100" width="4.77734375" style="104" customWidth="1"/>
    <col min="4101" max="4101" width="37.109375" style="104" bestFit="1" customWidth="1"/>
    <col min="4102" max="4102" width="12.88671875" style="104" customWidth="1"/>
    <col min="4103" max="4103" width="12.109375" style="104" customWidth="1"/>
    <col min="4104" max="4104" width="7.5546875" style="104" customWidth="1"/>
    <col min="4105" max="4105" width="14.33203125" style="104" customWidth="1"/>
    <col min="4106" max="4106" width="8.21875" style="104" customWidth="1"/>
    <col min="4107" max="4107" width="14.77734375" style="104" customWidth="1"/>
    <col min="4108" max="4108" width="5.21875" style="104" bestFit="1" customWidth="1"/>
    <col min="4109" max="4109" width="16.109375" style="104" customWidth="1"/>
    <col min="4110" max="4110" width="12.6640625" style="104" bestFit="1" customWidth="1"/>
    <col min="4111" max="4352" width="8.88671875" style="104"/>
    <col min="4353" max="4353" width="36.21875" style="104" bestFit="1" customWidth="1"/>
    <col min="4354" max="4354" width="3.77734375" style="104" bestFit="1" customWidth="1"/>
    <col min="4355" max="4356" width="4.77734375" style="104" customWidth="1"/>
    <col min="4357" max="4357" width="37.109375" style="104" bestFit="1" customWidth="1"/>
    <col min="4358" max="4358" width="12.88671875" style="104" customWidth="1"/>
    <col min="4359" max="4359" width="12.109375" style="104" customWidth="1"/>
    <col min="4360" max="4360" width="7.5546875" style="104" customWidth="1"/>
    <col min="4361" max="4361" width="14.33203125" style="104" customWidth="1"/>
    <col min="4362" max="4362" width="8.21875" style="104" customWidth="1"/>
    <col min="4363" max="4363" width="14.77734375" style="104" customWidth="1"/>
    <col min="4364" max="4364" width="5.21875" style="104" bestFit="1" customWidth="1"/>
    <col min="4365" max="4365" width="16.109375" style="104" customWidth="1"/>
    <col min="4366" max="4366" width="12.6640625" style="104" bestFit="1" customWidth="1"/>
    <col min="4367" max="4608" width="8.88671875" style="104"/>
    <col min="4609" max="4609" width="36.21875" style="104" bestFit="1" customWidth="1"/>
    <col min="4610" max="4610" width="3.77734375" style="104" bestFit="1" customWidth="1"/>
    <col min="4611" max="4612" width="4.77734375" style="104" customWidth="1"/>
    <col min="4613" max="4613" width="37.109375" style="104" bestFit="1" customWidth="1"/>
    <col min="4614" max="4614" width="12.88671875" style="104" customWidth="1"/>
    <col min="4615" max="4615" width="12.109375" style="104" customWidth="1"/>
    <col min="4616" max="4616" width="7.5546875" style="104" customWidth="1"/>
    <col min="4617" max="4617" width="14.33203125" style="104" customWidth="1"/>
    <col min="4618" max="4618" width="8.21875" style="104" customWidth="1"/>
    <col min="4619" max="4619" width="14.77734375" style="104" customWidth="1"/>
    <col min="4620" max="4620" width="5.21875" style="104" bestFit="1" customWidth="1"/>
    <col min="4621" max="4621" width="16.109375" style="104" customWidth="1"/>
    <col min="4622" max="4622" width="12.6640625" style="104" bestFit="1" customWidth="1"/>
    <col min="4623" max="4864" width="8.88671875" style="104"/>
    <col min="4865" max="4865" width="36.21875" style="104" bestFit="1" customWidth="1"/>
    <col min="4866" max="4866" width="3.77734375" style="104" bestFit="1" customWidth="1"/>
    <col min="4867" max="4868" width="4.77734375" style="104" customWidth="1"/>
    <col min="4869" max="4869" width="37.109375" style="104" bestFit="1" customWidth="1"/>
    <col min="4870" max="4870" width="12.88671875" style="104" customWidth="1"/>
    <col min="4871" max="4871" width="12.109375" style="104" customWidth="1"/>
    <col min="4872" max="4872" width="7.5546875" style="104" customWidth="1"/>
    <col min="4873" max="4873" width="14.33203125" style="104" customWidth="1"/>
    <col min="4874" max="4874" width="8.21875" style="104" customWidth="1"/>
    <col min="4875" max="4875" width="14.77734375" style="104" customWidth="1"/>
    <col min="4876" max="4876" width="5.21875" style="104" bestFit="1" customWidth="1"/>
    <col min="4877" max="4877" width="16.109375" style="104" customWidth="1"/>
    <col min="4878" max="4878" width="12.6640625" style="104" bestFit="1" customWidth="1"/>
    <col min="4879" max="5120" width="8.88671875" style="104"/>
    <col min="5121" max="5121" width="36.21875" style="104" bestFit="1" customWidth="1"/>
    <col min="5122" max="5122" width="3.77734375" style="104" bestFit="1" customWidth="1"/>
    <col min="5123" max="5124" width="4.77734375" style="104" customWidth="1"/>
    <col min="5125" max="5125" width="37.109375" style="104" bestFit="1" customWidth="1"/>
    <col min="5126" max="5126" width="12.88671875" style="104" customWidth="1"/>
    <col min="5127" max="5127" width="12.109375" style="104" customWidth="1"/>
    <col min="5128" max="5128" width="7.5546875" style="104" customWidth="1"/>
    <col min="5129" max="5129" width="14.33203125" style="104" customWidth="1"/>
    <col min="5130" max="5130" width="8.21875" style="104" customWidth="1"/>
    <col min="5131" max="5131" width="14.77734375" style="104" customWidth="1"/>
    <col min="5132" max="5132" width="5.21875" style="104" bestFit="1" customWidth="1"/>
    <col min="5133" max="5133" width="16.109375" style="104" customWidth="1"/>
    <col min="5134" max="5134" width="12.6640625" style="104" bestFit="1" customWidth="1"/>
    <col min="5135" max="5376" width="8.88671875" style="104"/>
    <col min="5377" max="5377" width="36.21875" style="104" bestFit="1" customWidth="1"/>
    <col min="5378" max="5378" width="3.77734375" style="104" bestFit="1" customWidth="1"/>
    <col min="5379" max="5380" width="4.77734375" style="104" customWidth="1"/>
    <col min="5381" max="5381" width="37.109375" style="104" bestFit="1" customWidth="1"/>
    <col min="5382" max="5382" width="12.88671875" style="104" customWidth="1"/>
    <col min="5383" max="5383" width="12.109375" style="104" customWidth="1"/>
    <col min="5384" max="5384" width="7.5546875" style="104" customWidth="1"/>
    <col min="5385" max="5385" width="14.33203125" style="104" customWidth="1"/>
    <col min="5386" max="5386" width="8.21875" style="104" customWidth="1"/>
    <col min="5387" max="5387" width="14.77734375" style="104" customWidth="1"/>
    <col min="5388" max="5388" width="5.21875" style="104" bestFit="1" customWidth="1"/>
    <col min="5389" max="5389" width="16.109375" style="104" customWidth="1"/>
    <col min="5390" max="5390" width="12.6640625" style="104" bestFit="1" customWidth="1"/>
    <col min="5391" max="5632" width="8.88671875" style="104"/>
    <col min="5633" max="5633" width="36.21875" style="104" bestFit="1" customWidth="1"/>
    <col min="5634" max="5634" width="3.77734375" style="104" bestFit="1" customWidth="1"/>
    <col min="5635" max="5636" width="4.77734375" style="104" customWidth="1"/>
    <col min="5637" max="5637" width="37.109375" style="104" bestFit="1" customWidth="1"/>
    <col min="5638" max="5638" width="12.88671875" style="104" customWidth="1"/>
    <col min="5639" max="5639" width="12.109375" style="104" customWidth="1"/>
    <col min="5640" max="5640" width="7.5546875" style="104" customWidth="1"/>
    <col min="5641" max="5641" width="14.33203125" style="104" customWidth="1"/>
    <col min="5642" max="5642" width="8.21875" style="104" customWidth="1"/>
    <col min="5643" max="5643" width="14.77734375" style="104" customWidth="1"/>
    <col min="5644" max="5644" width="5.21875" style="104" bestFit="1" customWidth="1"/>
    <col min="5645" max="5645" width="16.109375" style="104" customWidth="1"/>
    <col min="5646" max="5646" width="12.6640625" style="104" bestFit="1" customWidth="1"/>
    <col min="5647" max="5888" width="8.88671875" style="104"/>
    <col min="5889" max="5889" width="36.21875" style="104" bestFit="1" customWidth="1"/>
    <col min="5890" max="5890" width="3.77734375" style="104" bestFit="1" customWidth="1"/>
    <col min="5891" max="5892" width="4.77734375" style="104" customWidth="1"/>
    <col min="5893" max="5893" width="37.109375" style="104" bestFit="1" customWidth="1"/>
    <col min="5894" max="5894" width="12.88671875" style="104" customWidth="1"/>
    <col min="5895" max="5895" width="12.109375" style="104" customWidth="1"/>
    <col min="5896" max="5896" width="7.5546875" style="104" customWidth="1"/>
    <col min="5897" max="5897" width="14.33203125" style="104" customWidth="1"/>
    <col min="5898" max="5898" width="8.21875" style="104" customWidth="1"/>
    <col min="5899" max="5899" width="14.77734375" style="104" customWidth="1"/>
    <col min="5900" max="5900" width="5.21875" style="104" bestFit="1" customWidth="1"/>
    <col min="5901" max="5901" width="16.109375" style="104" customWidth="1"/>
    <col min="5902" max="5902" width="12.6640625" style="104" bestFit="1" customWidth="1"/>
    <col min="5903" max="6144" width="8.88671875" style="104"/>
    <col min="6145" max="6145" width="36.21875" style="104" bestFit="1" customWidth="1"/>
    <col min="6146" max="6146" width="3.77734375" style="104" bestFit="1" customWidth="1"/>
    <col min="6147" max="6148" width="4.77734375" style="104" customWidth="1"/>
    <col min="6149" max="6149" width="37.109375" style="104" bestFit="1" customWidth="1"/>
    <col min="6150" max="6150" width="12.88671875" style="104" customWidth="1"/>
    <col min="6151" max="6151" width="12.109375" style="104" customWidth="1"/>
    <col min="6152" max="6152" width="7.5546875" style="104" customWidth="1"/>
    <col min="6153" max="6153" width="14.33203125" style="104" customWidth="1"/>
    <col min="6154" max="6154" width="8.21875" style="104" customWidth="1"/>
    <col min="6155" max="6155" width="14.77734375" style="104" customWidth="1"/>
    <col min="6156" max="6156" width="5.21875" style="104" bestFit="1" customWidth="1"/>
    <col min="6157" max="6157" width="16.109375" style="104" customWidth="1"/>
    <col min="6158" max="6158" width="12.6640625" style="104" bestFit="1" customWidth="1"/>
    <col min="6159" max="6400" width="8.88671875" style="104"/>
    <col min="6401" max="6401" width="36.21875" style="104" bestFit="1" customWidth="1"/>
    <col min="6402" max="6402" width="3.77734375" style="104" bestFit="1" customWidth="1"/>
    <col min="6403" max="6404" width="4.77734375" style="104" customWidth="1"/>
    <col min="6405" max="6405" width="37.109375" style="104" bestFit="1" customWidth="1"/>
    <col min="6406" max="6406" width="12.88671875" style="104" customWidth="1"/>
    <col min="6407" max="6407" width="12.109375" style="104" customWidth="1"/>
    <col min="6408" max="6408" width="7.5546875" style="104" customWidth="1"/>
    <col min="6409" max="6409" width="14.33203125" style="104" customWidth="1"/>
    <col min="6410" max="6410" width="8.21875" style="104" customWidth="1"/>
    <col min="6411" max="6411" width="14.77734375" style="104" customWidth="1"/>
    <col min="6412" max="6412" width="5.21875" style="104" bestFit="1" customWidth="1"/>
    <col min="6413" max="6413" width="16.109375" style="104" customWidth="1"/>
    <col min="6414" max="6414" width="12.6640625" style="104" bestFit="1" customWidth="1"/>
    <col min="6415" max="6656" width="8.88671875" style="104"/>
    <col min="6657" max="6657" width="36.21875" style="104" bestFit="1" customWidth="1"/>
    <col min="6658" max="6658" width="3.77734375" style="104" bestFit="1" customWidth="1"/>
    <col min="6659" max="6660" width="4.77734375" style="104" customWidth="1"/>
    <col min="6661" max="6661" width="37.109375" style="104" bestFit="1" customWidth="1"/>
    <col min="6662" max="6662" width="12.88671875" style="104" customWidth="1"/>
    <col min="6663" max="6663" width="12.109375" style="104" customWidth="1"/>
    <col min="6664" max="6664" width="7.5546875" style="104" customWidth="1"/>
    <col min="6665" max="6665" width="14.33203125" style="104" customWidth="1"/>
    <col min="6666" max="6666" width="8.21875" style="104" customWidth="1"/>
    <col min="6667" max="6667" width="14.77734375" style="104" customWidth="1"/>
    <col min="6668" max="6668" width="5.21875" style="104" bestFit="1" customWidth="1"/>
    <col min="6669" max="6669" width="16.109375" style="104" customWidth="1"/>
    <col min="6670" max="6670" width="12.6640625" style="104" bestFit="1" customWidth="1"/>
    <col min="6671" max="6912" width="8.88671875" style="104"/>
    <col min="6913" max="6913" width="36.21875" style="104" bestFit="1" customWidth="1"/>
    <col min="6914" max="6914" width="3.77734375" style="104" bestFit="1" customWidth="1"/>
    <col min="6915" max="6916" width="4.77734375" style="104" customWidth="1"/>
    <col min="6917" max="6917" width="37.109375" style="104" bestFit="1" customWidth="1"/>
    <col min="6918" max="6918" width="12.88671875" style="104" customWidth="1"/>
    <col min="6919" max="6919" width="12.109375" style="104" customWidth="1"/>
    <col min="6920" max="6920" width="7.5546875" style="104" customWidth="1"/>
    <col min="6921" max="6921" width="14.33203125" style="104" customWidth="1"/>
    <col min="6922" max="6922" width="8.21875" style="104" customWidth="1"/>
    <col min="6923" max="6923" width="14.77734375" style="104" customWidth="1"/>
    <col min="6924" max="6924" width="5.21875" style="104" bestFit="1" customWidth="1"/>
    <col min="6925" max="6925" width="16.109375" style="104" customWidth="1"/>
    <col min="6926" max="6926" width="12.6640625" style="104" bestFit="1" customWidth="1"/>
    <col min="6927" max="7168" width="8.88671875" style="104"/>
    <col min="7169" max="7169" width="36.21875" style="104" bestFit="1" customWidth="1"/>
    <col min="7170" max="7170" width="3.77734375" style="104" bestFit="1" customWidth="1"/>
    <col min="7171" max="7172" width="4.77734375" style="104" customWidth="1"/>
    <col min="7173" max="7173" width="37.109375" style="104" bestFit="1" customWidth="1"/>
    <col min="7174" max="7174" width="12.88671875" style="104" customWidth="1"/>
    <col min="7175" max="7175" width="12.109375" style="104" customWidth="1"/>
    <col min="7176" max="7176" width="7.5546875" style="104" customWidth="1"/>
    <col min="7177" max="7177" width="14.33203125" style="104" customWidth="1"/>
    <col min="7178" max="7178" width="8.21875" style="104" customWidth="1"/>
    <col min="7179" max="7179" width="14.77734375" style="104" customWidth="1"/>
    <col min="7180" max="7180" width="5.21875" style="104" bestFit="1" customWidth="1"/>
    <col min="7181" max="7181" width="16.109375" style="104" customWidth="1"/>
    <col min="7182" max="7182" width="12.6640625" style="104" bestFit="1" customWidth="1"/>
    <col min="7183" max="7424" width="8.88671875" style="104"/>
    <col min="7425" max="7425" width="36.21875" style="104" bestFit="1" customWidth="1"/>
    <col min="7426" max="7426" width="3.77734375" style="104" bestFit="1" customWidth="1"/>
    <col min="7427" max="7428" width="4.77734375" style="104" customWidth="1"/>
    <col min="7429" max="7429" width="37.109375" style="104" bestFit="1" customWidth="1"/>
    <col min="7430" max="7430" width="12.88671875" style="104" customWidth="1"/>
    <col min="7431" max="7431" width="12.109375" style="104" customWidth="1"/>
    <col min="7432" max="7432" width="7.5546875" style="104" customWidth="1"/>
    <col min="7433" max="7433" width="14.33203125" style="104" customWidth="1"/>
    <col min="7434" max="7434" width="8.21875" style="104" customWidth="1"/>
    <col min="7435" max="7435" width="14.77734375" style="104" customWidth="1"/>
    <col min="7436" max="7436" width="5.21875" style="104" bestFit="1" customWidth="1"/>
    <col min="7437" max="7437" width="16.109375" style="104" customWidth="1"/>
    <col min="7438" max="7438" width="12.6640625" style="104" bestFit="1" customWidth="1"/>
    <col min="7439" max="7680" width="8.88671875" style="104"/>
    <col min="7681" max="7681" width="36.21875" style="104" bestFit="1" customWidth="1"/>
    <col min="7682" max="7682" width="3.77734375" style="104" bestFit="1" customWidth="1"/>
    <col min="7683" max="7684" width="4.77734375" style="104" customWidth="1"/>
    <col min="7685" max="7685" width="37.109375" style="104" bestFit="1" customWidth="1"/>
    <col min="7686" max="7686" width="12.88671875" style="104" customWidth="1"/>
    <col min="7687" max="7687" width="12.109375" style="104" customWidth="1"/>
    <col min="7688" max="7688" width="7.5546875" style="104" customWidth="1"/>
    <col min="7689" max="7689" width="14.33203125" style="104" customWidth="1"/>
    <col min="7690" max="7690" width="8.21875" style="104" customWidth="1"/>
    <col min="7691" max="7691" width="14.77734375" style="104" customWidth="1"/>
    <col min="7692" max="7692" width="5.21875" style="104" bestFit="1" customWidth="1"/>
    <col min="7693" max="7693" width="16.109375" style="104" customWidth="1"/>
    <col min="7694" max="7694" width="12.6640625" style="104" bestFit="1" customWidth="1"/>
    <col min="7695" max="7936" width="8.88671875" style="104"/>
    <col min="7937" max="7937" width="36.21875" style="104" bestFit="1" customWidth="1"/>
    <col min="7938" max="7938" width="3.77734375" style="104" bestFit="1" customWidth="1"/>
    <col min="7939" max="7940" width="4.77734375" style="104" customWidth="1"/>
    <col min="7941" max="7941" width="37.109375" style="104" bestFit="1" customWidth="1"/>
    <col min="7942" max="7942" width="12.88671875" style="104" customWidth="1"/>
    <col min="7943" max="7943" width="12.109375" style="104" customWidth="1"/>
    <col min="7944" max="7944" width="7.5546875" style="104" customWidth="1"/>
    <col min="7945" max="7945" width="14.33203125" style="104" customWidth="1"/>
    <col min="7946" max="7946" width="8.21875" style="104" customWidth="1"/>
    <col min="7947" max="7947" width="14.77734375" style="104" customWidth="1"/>
    <col min="7948" max="7948" width="5.21875" style="104" bestFit="1" customWidth="1"/>
    <col min="7949" max="7949" width="16.109375" style="104" customWidth="1"/>
    <col min="7950" max="7950" width="12.6640625" style="104" bestFit="1" customWidth="1"/>
    <col min="7951" max="8192" width="8.88671875" style="104"/>
    <col min="8193" max="8193" width="36.21875" style="104" bestFit="1" customWidth="1"/>
    <col min="8194" max="8194" width="3.77734375" style="104" bestFit="1" customWidth="1"/>
    <col min="8195" max="8196" width="4.77734375" style="104" customWidth="1"/>
    <col min="8197" max="8197" width="37.109375" style="104" bestFit="1" customWidth="1"/>
    <col min="8198" max="8198" width="12.88671875" style="104" customWidth="1"/>
    <col min="8199" max="8199" width="12.109375" style="104" customWidth="1"/>
    <col min="8200" max="8200" width="7.5546875" style="104" customWidth="1"/>
    <col min="8201" max="8201" width="14.33203125" style="104" customWidth="1"/>
    <col min="8202" max="8202" width="8.21875" style="104" customWidth="1"/>
    <col min="8203" max="8203" width="14.77734375" style="104" customWidth="1"/>
    <col min="8204" max="8204" width="5.21875" style="104" bestFit="1" customWidth="1"/>
    <col min="8205" max="8205" width="16.109375" style="104" customWidth="1"/>
    <col min="8206" max="8206" width="12.6640625" style="104" bestFit="1" customWidth="1"/>
    <col min="8207" max="8448" width="8.88671875" style="104"/>
    <col min="8449" max="8449" width="36.21875" style="104" bestFit="1" customWidth="1"/>
    <col min="8450" max="8450" width="3.77734375" style="104" bestFit="1" customWidth="1"/>
    <col min="8451" max="8452" width="4.77734375" style="104" customWidth="1"/>
    <col min="8453" max="8453" width="37.109375" style="104" bestFit="1" customWidth="1"/>
    <col min="8454" max="8454" width="12.88671875" style="104" customWidth="1"/>
    <col min="8455" max="8455" width="12.109375" style="104" customWidth="1"/>
    <col min="8456" max="8456" width="7.5546875" style="104" customWidth="1"/>
    <col min="8457" max="8457" width="14.33203125" style="104" customWidth="1"/>
    <col min="8458" max="8458" width="8.21875" style="104" customWidth="1"/>
    <col min="8459" max="8459" width="14.77734375" style="104" customWidth="1"/>
    <col min="8460" max="8460" width="5.21875" style="104" bestFit="1" customWidth="1"/>
    <col min="8461" max="8461" width="16.109375" style="104" customWidth="1"/>
    <col min="8462" max="8462" width="12.6640625" style="104" bestFit="1" customWidth="1"/>
    <col min="8463" max="8704" width="8.88671875" style="104"/>
    <col min="8705" max="8705" width="36.21875" style="104" bestFit="1" customWidth="1"/>
    <col min="8706" max="8706" width="3.77734375" style="104" bestFit="1" customWidth="1"/>
    <col min="8707" max="8708" width="4.77734375" style="104" customWidth="1"/>
    <col min="8709" max="8709" width="37.109375" style="104" bestFit="1" customWidth="1"/>
    <col min="8710" max="8710" width="12.88671875" style="104" customWidth="1"/>
    <col min="8711" max="8711" width="12.109375" style="104" customWidth="1"/>
    <col min="8712" max="8712" width="7.5546875" style="104" customWidth="1"/>
    <col min="8713" max="8713" width="14.33203125" style="104" customWidth="1"/>
    <col min="8714" max="8714" width="8.21875" style="104" customWidth="1"/>
    <col min="8715" max="8715" width="14.77734375" style="104" customWidth="1"/>
    <col min="8716" max="8716" width="5.21875" style="104" bestFit="1" customWidth="1"/>
    <col min="8717" max="8717" width="16.109375" style="104" customWidth="1"/>
    <col min="8718" max="8718" width="12.6640625" style="104" bestFit="1" customWidth="1"/>
    <col min="8719" max="8960" width="8.88671875" style="104"/>
    <col min="8961" max="8961" width="36.21875" style="104" bestFit="1" customWidth="1"/>
    <col min="8962" max="8962" width="3.77734375" style="104" bestFit="1" customWidth="1"/>
    <col min="8963" max="8964" width="4.77734375" style="104" customWidth="1"/>
    <col min="8965" max="8965" width="37.109375" style="104" bestFit="1" customWidth="1"/>
    <col min="8966" max="8966" width="12.88671875" style="104" customWidth="1"/>
    <col min="8967" max="8967" width="12.109375" style="104" customWidth="1"/>
    <col min="8968" max="8968" width="7.5546875" style="104" customWidth="1"/>
    <col min="8969" max="8969" width="14.33203125" style="104" customWidth="1"/>
    <col min="8970" max="8970" width="8.21875" style="104" customWidth="1"/>
    <col min="8971" max="8971" width="14.77734375" style="104" customWidth="1"/>
    <col min="8972" max="8972" width="5.21875" style="104" bestFit="1" customWidth="1"/>
    <col min="8973" max="8973" width="16.109375" style="104" customWidth="1"/>
    <col min="8974" max="8974" width="12.6640625" style="104" bestFit="1" customWidth="1"/>
    <col min="8975" max="9216" width="8.88671875" style="104"/>
    <col min="9217" max="9217" width="36.21875" style="104" bestFit="1" customWidth="1"/>
    <col min="9218" max="9218" width="3.77734375" style="104" bestFit="1" customWidth="1"/>
    <col min="9219" max="9220" width="4.77734375" style="104" customWidth="1"/>
    <col min="9221" max="9221" width="37.109375" style="104" bestFit="1" customWidth="1"/>
    <col min="9222" max="9222" width="12.88671875" style="104" customWidth="1"/>
    <col min="9223" max="9223" width="12.109375" style="104" customWidth="1"/>
    <col min="9224" max="9224" width="7.5546875" style="104" customWidth="1"/>
    <col min="9225" max="9225" width="14.33203125" style="104" customWidth="1"/>
    <col min="9226" max="9226" width="8.21875" style="104" customWidth="1"/>
    <col min="9227" max="9227" width="14.77734375" style="104" customWidth="1"/>
    <col min="9228" max="9228" width="5.21875" style="104" bestFit="1" customWidth="1"/>
    <col min="9229" max="9229" width="16.109375" style="104" customWidth="1"/>
    <col min="9230" max="9230" width="12.6640625" style="104" bestFit="1" customWidth="1"/>
    <col min="9231" max="9472" width="8.88671875" style="104"/>
    <col min="9473" max="9473" width="36.21875" style="104" bestFit="1" customWidth="1"/>
    <col min="9474" max="9474" width="3.77734375" style="104" bestFit="1" customWidth="1"/>
    <col min="9475" max="9476" width="4.77734375" style="104" customWidth="1"/>
    <col min="9477" max="9477" width="37.109375" style="104" bestFit="1" customWidth="1"/>
    <col min="9478" max="9478" width="12.88671875" style="104" customWidth="1"/>
    <col min="9479" max="9479" width="12.109375" style="104" customWidth="1"/>
    <col min="9480" max="9480" width="7.5546875" style="104" customWidth="1"/>
    <col min="9481" max="9481" width="14.33203125" style="104" customWidth="1"/>
    <col min="9482" max="9482" width="8.21875" style="104" customWidth="1"/>
    <col min="9483" max="9483" width="14.77734375" style="104" customWidth="1"/>
    <col min="9484" max="9484" width="5.21875" style="104" bestFit="1" customWidth="1"/>
    <col min="9485" max="9485" width="16.109375" style="104" customWidth="1"/>
    <col min="9486" max="9486" width="12.6640625" style="104" bestFit="1" customWidth="1"/>
    <col min="9487" max="9728" width="8.88671875" style="104"/>
    <col min="9729" max="9729" width="36.21875" style="104" bestFit="1" customWidth="1"/>
    <col min="9730" max="9730" width="3.77734375" style="104" bestFit="1" customWidth="1"/>
    <col min="9731" max="9732" width="4.77734375" style="104" customWidth="1"/>
    <col min="9733" max="9733" width="37.109375" style="104" bestFit="1" customWidth="1"/>
    <col min="9734" max="9734" width="12.88671875" style="104" customWidth="1"/>
    <col min="9735" max="9735" width="12.109375" style="104" customWidth="1"/>
    <col min="9736" max="9736" width="7.5546875" style="104" customWidth="1"/>
    <col min="9737" max="9737" width="14.33203125" style="104" customWidth="1"/>
    <col min="9738" max="9738" width="8.21875" style="104" customWidth="1"/>
    <col min="9739" max="9739" width="14.77734375" style="104" customWidth="1"/>
    <col min="9740" max="9740" width="5.21875" style="104" bestFit="1" customWidth="1"/>
    <col min="9741" max="9741" width="16.109375" style="104" customWidth="1"/>
    <col min="9742" max="9742" width="12.6640625" style="104" bestFit="1" customWidth="1"/>
    <col min="9743" max="9984" width="8.88671875" style="104"/>
    <col min="9985" max="9985" width="36.21875" style="104" bestFit="1" customWidth="1"/>
    <col min="9986" max="9986" width="3.77734375" style="104" bestFit="1" customWidth="1"/>
    <col min="9987" max="9988" width="4.77734375" style="104" customWidth="1"/>
    <col min="9989" max="9989" width="37.109375" style="104" bestFit="1" customWidth="1"/>
    <col min="9990" max="9990" width="12.88671875" style="104" customWidth="1"/>
    <col min="9991" max="9991" width="12.109375" style="104" customWidth="1"/>
    <col min="9992" max="9992" width="7.5546875" style="104" customWidth="1"/>
    <col min="9993" max="9993" width="14.33203125" style="104" customWidth="1"/>
    <col min="9994" max="9994" width="8.21875" style="104" customWidth="1"/>
    <col min="9995" max="9995" width="14.77734375" style="104" customWidth="1"/>
    <col min="9996" max="9996" width="5.21875" style="104" bestFit="1" customWidth="1"/>
    <col min="9997" max="9997" width="16.109375" style="104" customWidth="1"/>
    <col min="9998" max="9998" width="12.6640625" style="104" bestFit="1" customWidth="1"/>
    <col min="9999" max="10240" width="8.88671875" style="104"/>
    <col min="10241" max="10241" width="36.21875" style="104" bestFit="1" customWidth="1"/>
    <col min="10242" max="10242" width="3.77734375" style="104" bestFit="1" customWidth="1"/>
    <col min="10243" max="10244" width="4.77734375" style="104" customWidth="1"/>
    <col min="10245" max="10245" width="37.109375" style="104" bestFit="1" customWidth="1"/>
    <col min="10246" max="10246" width="12.88671875" style="104" customWidth="1"/>
    <col min="10247" max="10247" width="12.109375" style="104" customWidth="1"/>
    <col min="10248" max="10248" width="7.5546875" style="104" customWidth="1"/>
    <col min="10249" max="10249" width="14.33203125" style="104" customWidth="1"/>
    <col min="10250" max="10250" width="8.21875" style="104" customWidth="1"/>
    <col min="10251" max="10251" width="14.77734375" style="104" customWidth="1"/>
    <col min="10252" max="10252" width="5.21875" style="104" bestFit="1" customWidth="1"/>
    <col min="10253" max="10253" width="16.109375" style="104" customWidth="1"/>
    <col min="10254" max="10254" width="12.6640625" style="104" bestFit="1" customWidth="1"/>
    <col min="10255" max="10496" width="8.88671875" style="104"/>
    <col min="10497" max="10497" width="36.21875" style="104" bestFit="1" customWidth="1"/>
    <col min="10498" max="10498" width="3.77734375" style="104" bestFit="1" customWidth="1"/>
    <col min="10499" max="10500" width="4.77734375" style="104" customWidth="1"/>
    <col min="10501" max="10501" width="37.109375" style="104" bestFit="1" customWidth="1"/>
    <col min="10502" max="10502" width="12.88671875" style="104" customWidth="1"/>
    <col min="10503" max="10503" width="12.109375" style="104" customWidth="1"/>
    <col min="10504" max="10504" width="7.5546875" style="104" customWidth="1"/>
    <col min="10505" max="10505" width="14.33203125" style="104" customWidth="1"/>
    <col min="10506" max="10506" width="8.21875" style="104" customWidth="1"/>
    <col min="10507" max="10507" width="14.77734375" style="104" customWidth="1"/>
    <col min="10508" max="10508" width="5.21875" style="104" bestFit="1" customWidth="1"/>
    <col min="10509" max="10509" width="16.109375" style="104" customWidth="1"/>
    <col min="10510" max="10510" width="12.6640625" style="104" bestFit="1" customWidth="1"/>
    <col min="10511" max="10752" width="8.88671875" style="104"/>
    <col min="10753" max="10753" width="36.21875" style="104" bestFit="1" customWidth="1"/>
    <col min="10754" max="10754" width="3.77734375" style="104" bestFit="1" customWidth="1"/>
    <col min="10755" max="10756" width="4.77734375" style="104" customWidth="1"/>
    <col min="10757" max="10757" width="37.109375" style="104" bestFit="1" customWidth="1"/>
    <col min="10758" max="10758" width="12.88671875" style="104" customWidth="1"/>
    <col min="10759" max="10759" width="12.109375" style="104" customWidth="1"/>
    <col min="10760" max="10760" width="7.5546875" style="104" customWidth="1"/>
    <col min="10761" max="10761" width="14.33203125" style="104" customWidth="1"/>
    <col min="10762" max="10762" width="8.21875" style="104" customWidth="1"/>
    <col min="10763" max="10763" width="14.77734375" style="104" customWidth="1"/>
    <col min="10764" max="10764" width="5.21875" style="104" bestFit="1" customWidth="1"/>
    <col min="10765" max="10765" width="16.109375" style="104" customWidth="1"/>
    <col min="10766" max="10766" width="12.6640625" style="104" bestFit="1" customWidth="1"/>
    <col min="10767" max="11008" width="8.88671875" style="104"/>
    <col min="11009" max="11009" width="36.21875" style="104" bestFit="1" customWidth="1"/>
    <col min="11010" max="11010" width="3.77734375" style="104" bestFit="1" customWidth="1"/>
    <col min="11011" max="11012" width="4.77734375" style="104" customWidth="1"/>
    <col min="11013" max="11013" width="37.109375" style="104" bestFit="1" customWidth="1"/>
    <col min="11014" max="11014" width="12.88671875" style="104" customWidth="1"/>
    <col min="11015" max="11015" width="12.109375" style="104" customWidth="1"/>
    <col min="11016" max="11016" width="7.5546875" style="104" customWidth="1"/>
    <col min="11017" max="11017" width="14.33203125" style="104" customWidth="1"/>
    <col min="11018" max="11018" width="8.21875" style="104" customWidth="1"/>
    <col min="11019" max="11019" width="14.77734375" style="104" customWidth="1"/>
    <col min="11020" max="11020" width="5.21875" style="104" bestFit="1" customWidth="1"/>
    <col min="11021" max="11021" width="16.109375" style="104" customWidth="1"/>
    <col min="11022" max="11022" width="12.6640625" style="104" bestFit="1" customWidth="1"/>
    <col min="11023" max="11264" width="8.88671875" style="104"/>
    <col min="11265" max="11265" width="36.21875" style="104" bestFit="1" customWidth="1"/>
    <col min="11266" max="11266" width="3.77734375" style="104" bestFit="1" customWidth="1"/>
    <col min="11267" max="11268" width="4.77734375" style="104" customWidth="1"/>
    <col min="11269" max="11269" width="37.109375" style="104" bestFit="1" customWidth="1"/>
    <col min="11270" max="11270" width="12.88671875" style="104" customWidth="1"/>
    <col min="11271" max="11271" width="12.109375" style="104" customWidth="1"/>
    <col min="11272" max="11272" width="7.5546875" style="104" customWidth="1"/>
    <col min="11273" max="11273" width="14.33203125" style="104" customWidth="1"/>
    <col min="11274" max="11274" width="8.21875" style="104" customWidth="1"/>
    <col min="11275" max="11275" width="14.77734375" style="104" customWidth="1"/>
    <col min="11276" max="11276" width="5.21875" style="104" bestFit="1" customWidth="1"/>
    <col min="11277" max="11277" width="16.109375" style="104" customWidth="1"/>
    <col min="11278" max="11278" width="12.6640625" style="104" bestFit="1" customWidth="1"/>
    <col min="11279" max="11520" width="8.88671875" style="104"/>
    <col min="11521" max="11521" width="36.21875" style="104" bestFit="1" customWidth="1"/>
    <col min="11522" max="11522" width="3.77734375" style="104" bestFit="1" customWidth="1"/>
    <col min="11523" max="11524" width="4.77734375" style="104" customWidth="1"/>
    <col min="11525" max="11525" width="37.109375" style="104" bestFit="1" customWidth="1"/>
    <col min="11526" max="11526" width="12.88671875" style="104" customWidth="1"/>
    <col min="11527" max="11527" width="12.109375" style="104" customWidth="1"/>
    <col min="11528" max="11528" width="7.5546875" style="104" customWidth="1"/>
    <col min="11529" max="11529" width="14.33203125" style="104" customWidth="1"/>
    <col min="11530" max="11530" width="8.21875" style="104" customWidth="1"/>
    <col min="11531" max="11531" width="14.77734375" style="104" customWidth="1"/>
    <col min="11532" max="11532" width="5.21875" style="104" bestFit="1" customWidth="1"/>
    <col min="11533" max="11533" width="16.109375" style="104" customWidth="1"/>
    <col min="11534" max="11534" width="12.6640625" style="104" bestFit="1" customWidth="1"/>
    <col min="11535" max="11776" width="8.88671875" style="104"/>
    <col min="11777" max="11777" width="36.21875" style="104" bestFit="1" customWidth="1"/>
    <col min="11778" max="11778" width="3.77734375" style="104" bestFit="1" customWidth="1"/>
    <col min="11779" max="11780" width="4.77734375" style="104" customWidth="1"/>
    <col min="11781" max="11781" width="37.109375" style="104" bestFit="1" customWidth="1"/>
    <col min="11782" max="11782" width="12.88671875" style="104" customWidth="1"/>
    <col min="11783" max="11783" width="12.109375" style="104" customWidth="1"/>
    <col min="11784" max="11784" width="7.5546875" style="104" customWidth="1"/>
    <col min="11785" max="11785" width="14.33203125" style="104" customWidth="1"/>
    <col min="11786" max="11786" width="8.21875" style="104" customWidth="1"/>
    <col min="11787" max="11787" width="14.77734375" style="104" customWidth="1"/>
    <col min="11788" max="11788" width="5.21875" style="104" bestFit="1" customWidth="1"/>
    <col min="11789" max="11789" width="16.109375" style="104" customWidth="1"/>
    <col min="11790" max="11790" width="12.6640625" style="104" bestFit="1" customWidth="1"/>
    <col min="11791" max="12032" width="8.88671875" style="104"/>
    <col min="12033" max="12033" width="36.21875" style="104" bestFit="1" customWidth="1"/>
    <col min="12034" max="12034" width="3.77734375" style="104" bestFit="1" customWidth="1"/>
    <col min="12035" max="12036" width="4.77734375" style="104" customWidth="1"/>
    <col min="12037" max="12037" width="37.109375" style="104" bestFit="1" customWidth="1"/>
    <col min="12038" max="12038" width="12.88671875" style="104" customWidth="1"/>
    <col min="12039" max="12039" width="12.109375" style="104" customWidth="1"/>
    <col min="12040" max="12040" width="7.5546875" style="104" customWidth="1"/>
    <col min="12041" max="12041" width="14.33203125" style="104" customWidth="1"/>
    <col min="12042" max="12042" width="8.21875" style="104" customWidth="1"/>
    <col min="12043" max="12043" width="14.77734375" style="104" customWidth="1"/>
    <col min="12044" max="12044" width="5.21875" style="104" bestFit="1" customWidth="1"/>
    <col min="12045" max="12045" width="16.109375" style="104" customWidth="1"/>
    <col min="12046" max="12046" width="12.6640625" style="104" bestFit="1" customWidth="1"/>
    <col min="12047" max="12288" width="8.88671875" style="104"/>
    <col min="12289" max="12289" width="36.21875" style="104" bestFit="1" customWidth="1"/>
    <col min="12290" max="12290" width="3.77734375" style="104" bestFit="1" customWidth="1"/>
    <col min="12291" max="12292" width="4.77734375" style="104" customWidth="1"/>
    <col min="12293" max="12293" width="37.109375" style="104" bestFit="1" customWidth="1"/>
    <col min="12294" max="12294" width="12.88671875" style="104" customWidth="1"/>
    <col min="12295" max="12295" width="12.109375" style="104" customWidth="1"/>
    <col min="12296" max="12296" width="7.5546875" style="104" customWidth="1"/>
    <col min="12297" max="12297" width="14.33203125" style="104" customWidth="1"/>
    <col min="12298" max="12298" width="8.21875" style="104" customWidth="1"/>
    <col min="12299" max="12299" width="14.77734375" style="104" customWidth="1"/>
    <col min="12300" max="12300" width="5.21875" style="104" bestFit="1" customWidth="1"/>
    <col min="12301" max="12301" width="16.109375" style="104" customWidth="1"/>
    <col min="12302" max="12302" width="12.6640625" style="104" bestFit="1" customWidth="1"/>
    <col min="12303" max="12544" width="8.88671875" style="104"/>
    <col min="12545" max="12545" width="36.21875" style="104" bestFit="1" customWidth="1"/>
    <col min="12546" max="12546" width="3.77734375" style="104" bestFit="1" customWidth="1"/>
    <col min="12547" max="12548" width="4.77734375" style="104" customWidth="1"/>
    <col min="12549" max="12549" width="37.109375" style="104" bestFit="1" customWidth="1"/>
    <col min="12550" max="12550" width="12.88671875" style="104" customWidth="1"/>
    <col min="12551" max="12551" width="12.109375" style="104" customWidth="1"/>
    <col min="12552" max="12552" width="7.5546875" style="104" customWidth="1"/>
    <col min="12553" max="12553" width="14.33203125" style="104" customWidth="1"/>
    <col min="12554" max="12554" width="8.21875" style="104" customWidth="1"/>
    <col min="12555" max="12555" width="14.77734375" style="104" customWidth="1"/>
    <col min="12556" max="12556" width="5.21875" style="104" bestFit="1" customWidth="1"/>
    <col min="12557" max="12557" width="16.109375" style="104" customWidth="1"/>
    <col min="12558" max="12558" width="12.6640625" style="104" bestFit="1" customWidth="1"/>
    <col min="12559" max="12800" width="8.88671875" style="104"/>
    <col min="12801" max="12801" width="36.21875" style="104" bestFit="1" customWidth="1"/>
    <col min="12802" max="12802" width="3.77734375" style="104" bestFit="1" customWidth="1"/>
    <col min="12803" max="12804" width="4.77734375" style="104" customWidth="1"/>
    <col min="12805" max="12805" width="37.109375" style="104" bestFit="1" customWidth="1"/>
    <col min="12806" max="12806" width="12.88671875" style="104" customWidth="1"/>
    <col min="12807" max="12807" width="12.109375" style="104" customWidth="1"/>
    <col min="12808" max="12808" width="7.5546875" style="104" customWidth="1"/>
    <col min="12809" max="12809" width="14.33203125" style="104" customWidth="1"/>
    <col min="12810" max="12810" width="8.21875" style="104" customWidth="1"/>
    <col min="12811" max="12811" width="14.77734375" style="104" customWidth="1"/>
    <col min="12812" max="12812" width="5.21875" style="104" bestFit="1" customWidth="1"/>
    <col min="12813" max="12813" width="16.109375" style="104" customWidth="1"/>
    <col min="12814" max="12814" width="12.6640625" style="104" bestFit="1" customWidth="1"/>
    <col min="12815" max="13056" width="8.88671875" style="104"/>
    <col min="13057" max="13057" width="36.21875" style="104" bestFit="1" customWidth="1"/>
    <col min="13058" max="13058" width="3.77734375" style="104" bestFit="1" customWidth="1"/>
    <col min="13059" max="13060" width="4.77734375" style="104" customWidth="1"/>
    <col min="13061" max="13061" width="37.109375" style="104" bestFit="1" customWidth="1"/>
    <col min="13062" max="13062" width="12.88671875" style="104" customWidth="1"/>
    <col min="13063" max="13063" width="12.109375" style="104" customWidth="1"/>
    <col min="13064" max="13064" width="7.5546875" style="104" customWidth="1"/>
    <col min="13065" max="13065" width="14.33203125" style="104" customWidth="1"/>
    <col min="13066" max="13066" width="8.21875" style="104" customWidth="1"/>
    <col min="13067" max="13067" width="14.77734375" style="104" customWidth="1"/>
    <col min="13068" max="13068" width="5.21875" style="104" bestFit="1" customWidth="1"/>
    <col min="13069" max="13069" width="16.109375" style="104" customWidth="1"/>
    <col min="13070" max="13070" width="12.6640625" style="104" bestFit="1" customWidth="1"/>
    <col min="13071" max="13312" width="8.88671875" style="104"/>
    <col min="13313" max="13313" width="36.21875" style="104" bestFit="1" customWidth="1"/>
    <col min="13314" max="13314" width="3.77734375" style="104" bestFit="1" customWidth="1"/>
    <col min="13315" max="13316" width="4.77734375" style="104" customWidth="1"/>
    <col min="13317" max="13317" width="37.109375" style="104" bestFit="1" customWidth="1"/>
    <col min="13318" max="13318" width="12.88671875" style="104" customWidth="1"/>
    <col min="13319" max="13319" width="12.109375" style="104" customWidth="1"/>
    <col min="13320" max="13320" width="7.5546875" style="104" customWidth="1"/>
    <col min="13321" max="13321" width="14.33203125" style="104" customWidth="1"/>
    <col min="13322" max="13322" width="8.21875" style="104" customWidth="1"/>
    <col min="13323" max="13323" width="14.77734375" style="104" customWidth="1"/>
    <col min="13324" max="13324" width="5.21875" style="104" bestFit="1" customWidth="1"/>
    <col min="13325" max="13325" width="16.109375" style="104" customWidth="1"/>
    <col min="13326" max="13326" width="12.6640625" style="104" bestFit="1" customWidth="1"/>
    <col min="13327" max="13568" width="8.88671875" style="104"/>
    <col min="13569" max="13569" width="36.21875" style="104" bestFit="1" customWidth="1"/>
    <col min="13570" max="13570" width="3.77734375" style="104" bestFit="1" customWidth="1"/>
    <col min="13571" max="13572" width="4.77734375" style="104" customWidth="1"/>
    <col min="13573" max="13573" width="37.109375" style="104" bestFit="1" customWidth="1"/>
    <col min="13574" max="13574" width="12.88671875" style="104" customWidth="1"/>
    <col min="13575" max="13575" width="12.109375" style="104" customWidth="1"/>
    <col min="13576" max="13576" width="7.5546875" style="104" customWidth="1"/>
    <col min="13577" max="13577" width="14.33203125" style="104" customWidth="1"/>
    <col min="13578" max="13578" width="8.21875" style="104" customWidth="1"/>
    <col min="13579" max="13579" width="14.77734375" style="104" customWidth="1"/>
    <col min="13580" max="13580" width="5.21875" style="104" bestFit="1" customWidth="1"/>
    <col min="13581" max="13581" width="16.109375" style="104" customWidth="1"/>
    <col min="13582" max="13582" width="12.6640625" style="104" bestFit="1" customWidth="1"/>
    <col min="13583" max="13824" width="8.88671875" style="104"/>
    <col min="13825" max="13825" width="36.21875" style="104" bestFit="1" customWidth="1"/>
    <col min="13826" max="13826" width="3.77734375" style="104" bestFit="1" customWidth="1"/>
    <col min="13827" max="13828" width="4.77734375" style="104" customWidth="1"/>
    <col min="13829" max="13829" width="37.109375" style="104" bestFit="1" customWidth="1"/>
    <col min="13830" max="13830" width="12.88671875" style="104" customWidth="1"/>
    <col min="13831" max="13831" width="12.109375" style="104" customWidth="1"/>
    <col min="13832" max="13832" width="7.5546875" style="104" customWidth="1"/>
    <col min="13833" max="13833" width="14.33203125" style="104" customWidth="1"/>
    <col min="13834" max="13834" width="8.21875" style="104" customWidth="1"/>
    <col min="13835" max="13835" width="14.77734375" style="104" customWidth="1"/>
    <col min="13836" max="13836" width="5.21875" style="104" bestFit="1" customWidth="1"/>
    <col min="13837" max="13837" width="16.109375" style="104" customWidth="1"/>
    <col min="13838" max="13838" width="12.6640625" style="104" bestFit="1" customWidth="1"/>
    <col min="13839" max="14080" width="8.88671875" style="104"/>
    <col min="14081" max="14081" width="36.21875" style="104" bestFit="1" customWidth="1"/>
    <col min="14082" max="14082" width="3.77734375" style="104" bestFit="1" customWidth="1"/>
    <col min="14083" max="14084" width="4.77734375" style="104" customWidth="1"/>
    <col min="14085" max="14085" width="37.109375" style="104" bestFit="1" customWidth="1"/>
    <col min="14086" max="14086" width="12.88671875" style="104" customWidth="1"/>
    <col min="14087" max="14087" width="12.109375" style="104" customWidth="1"/>
    <col min="14088" max="14088" width="7.5546875" style="104" customWidth="1"/>
    <col min="14089" max="14089" width="14.33203125" style="104" customWidth="1"/>
    <col min="14090" max="14090" width="8.21875" style="104" customWidth="1"/>
    <col min="14091" max="14091" width="14.77734375" style="104" customWidth="1"/>
    <col min="14092" max="14092" width="5.21875" style="104" bestFit="1" customWidth="1"/>
    <col min="14093" max="14093" width="16.109375" style="104" customWidth="1"/>
    <col min="14094" max="14094" width="12.6640625" style="104" bestFit="1" customWidth="1"/>
    <col min="14095" max="14336" width="8.88671875" style="104"/>
    <col min="14337" max="14337" width="36.21875" style="104" bestFit="1" customWidth="1"/>
    <col min="14338" max="14338" width="3.77734375" style="104" bestFit="1" customWidth="1"/>
    <col min="14339" max="14340" width="4.77734375" style="104" customWidth="1"/>
    <col min="14341" max="14341" width="37.109375" style="104" bestFit="1" customWidth="1"/>
    <col min="14342" max="14342" width="12.88671875" style="104" customWidth="1"/>
    <col min="14343" max="14343" width="12.109375" style="104" customWidth="1"/>
    <col min="14344" max="14344" width="7.5546875" style="104" customWidth="1"/>
    <col min="14345" max="14345" width="14.33203125" style="104" customWidth="1"/>
    <col min="14346" max="14346" width="8.21875" style="104" customWidth="1"/>
    <col min="14347" max="14347" width="14.77734375" style="104" customWidth="1"/>
    <col min="14348" max="14348" width="5.21875" style="104" bestFit="1" customWidth="1"/>
    <col min="14349" max="14349" width="16.109375" style="104" customWidth="1"/>
    <col min="14350" max="14350" width="12.6640625" style="104" bestFit="1" customWidth="1"/>
    <col min="14351" max="14592" width="8.88671875" style="104"/>
    <col min="14593" max="14593" width="36.21875" style="104" bestFit="1" customWidth="1"/>
    <col min="14594" max="14594" width="3.77734375" style="104" bestFit="1" customWidth="1"/>
    <col min="14595" max="14596" width="4.77734375" style="104" customWidth="1"/>
    <col min="14597" max="14597" width="37.109375" style="104" bestFit="1" customWidth="1"/>
    <col min="14598" max="14598" width="12.88671875" style="104" customWidth="1"/>
    <col min="14599" max="14599" width="12.109375" style="104" customWidth="1"/>
    <col min="14600" max="14600" width="7.5546875" style="104" customWidth="1"/>
    <col min="14601" max="14601" width="14.33203125" style="104" customWidth="1"/>
    <col min="14602" max="14602" width="8.21875" style="104" customWidth="1"/>
    <col min="14603" max="14603" width="14.77734375" style="104" customWidth="1"/>
    <col min="14604" max="14604" width="5.21875" style="104" bestFit="1" customWidth="1"/>
    <col min="14605" max="14605" width="16.109375" style="104" customWidth="1"/>
    <col min="14606" max="14606" width="12.6640625" style="104" bestFit="1" customWidth="1"/>
    <col min="14607" max="14848" width="8.88671875" style="104"/>
    <col min="14849" max="14849" width="36.21875" style="104" bestFit="1" customWidth="1"/>
    <col min="14850" max="14850" width="3.77734375" style="104" bestFit="1" customWidth="1"/>
    <col min="14851" max="14852" width="4.77734375" style="104" customWidth="1"/>
    <col min="14853" max="14853" width="37.109375" style="104" bestFit="1" customWidth="1"/>
    <col min="14854" max="14854" width="12.88671875" style="104" customWidth="1"/>
    <col min="14855" max="14855" width="12.109375" style="104" customWidth="1"/>
    <col min="14856" max="14856" width="7.5546875" style="104" customWidth="1"/>
    <col min="14857" max="14857" width="14.33203125" style="104" customWidth="1"/>
    <col min="14858" max="14858" width="8.21875" style="104" customWidth="1"/>
    <col min="14859" max="14859" width="14.77734375" style="104" customWidth="1"/>
    <col min="14860" max="14860" width="5.21875" style="104" bestFit="1" customWidth="1"/>
    <col min="14861" max="14861" width="16.109375" style="104" customWidth="1"/>
    <col min="14862" max="14862" width="12.6640625" style="104" bestFit="1" customWidth="1"/>
    <col min="14863" max="15104" width="8.88671875" style="104"/>
    <col min="15105" max="15105" width="36.21875" style="104" bestFit="1" customWidth="1"/>
    <col min="15106" max="15106" width="3.77734375" style="104" bestFit="1" customWidth="1"/>
    <col min="15107" max="15108" width="4.77734375" style="104" customWidth="1"/>
    <col min="15109" max="15109" width="37.109375" style="104" bestFit="1" customWidth="1"/>
    <col min="15110" max="15110" width="12.88671875" style="104" customWidth="1"/>
    <col min="15111" max="15111" width="12.109375" style="104" customWidth="1"/>
    <col min="15112" max="15112" width="7.5546875" style="104" customWidth="1"/>
    <col min="15113" max="15113" width="14.33203125" style="104" customWidth="1"/>
    <col min="15114" max="15114" width="8.21875" style="104" customWidth="1"/>
    <col min="15115" max="15115" width="14.77734375" style="104" customWidth="1"/>
    <col min="15116" max="15116" width="5.21875" style="104" bestFit="1" customWidth="1"/>
    <col min="15117" max="15117" width="16.109375" style="104" customWidth="1"/>
    <col min="15118" max="15118" width="12.6640625" style="104" bestFit="1" customWidth="1"/>
    <col min="15119" max="15360" width="8.88671875" style="104"/>
    <col min="15361" max="15361" width="36.21875" style="104" bestFit="1" customWidth="1"/>
    <col min="15362" max="15362" width="3.77734375" style="104" bestFit="1" customWidth="1"/>
    <col min="15363" max="15364" width="4.77734375" style="104" customWidth="1"/>
    <col min="15365" max="15365" width="37.109375" style="104" bestFit="1" customWidth="1"/>
    <col min="15366" max="15366" width="12.88671875" style="104" customWidth="1"/>
    <col min="15367" max="15367" width="12.109375" style="104" customWidth="1"/>
    <col min="15368" max="15368" width="7.5546875" style="104" customWidth="1"/>
    <col min="15369" max="15369" width="14.33203125" style="104" customWidth="1"/>
    <col min="15370" max="15370" width="8.21875" style="104" customWidth="1"/>
    <col min="15371" max="15371" width="14.77734375" style="104" customWidth="1"/>
    <col min="15372" max="15372" width="5.21875" style="104" bestFit="1" customWidth="1"/>
    <col min="15373" max="15373" width="16.109375" style="104" customWidth="1"/>
    <col min="15374" max="15374" width="12.6640625" style="104" bestFit="1" customWidth="1"/>
    <col min="15375" max="15616" width="8.88671875" style="104"/>
    <col min="15617" max="15617" width="36.21875" style="104" bestFit="1" customWidth="1"/>
    <col min="15618" max="15618" width="3.77734375" style="104" bestFit="1" customWidth="1"/>
    <col min="15619" max="15620" width="4.77734375" style="104" customWidth="1"/>
    <col min="15621" max="15621" width="37.109375" style="104" bestFit="1" customWidth="1"/>
    <col min="15622" max="15622" width="12.88671875" style="104" customWidth="1"/>
    <col min="15623" max="15623" width="12.109375" style="104" customWidth="1"/>
    <col min="15624" max="15624" width="7.5546875" style="104" customWidth="1"/>
    <col min="15625" max="15625" width="14.33203125" style="104" customWidth="1"/>
    <col min="15626" max="15626" width="8.21875" style="104" customWidth="1"/>
    <col min="15627" max="15627" width="14.77734375" style="104" customWidth="1"/>
    <col min="15628" max="15628" width="5.21875" style="104" bestFit="1" customWidth="1"/>
    <col min="15629" max="15629" width="16.109375" style="104" customWidth="1"/>
    <col min="15630" max="15630" width="12.6640625" style="104" bestFit="1" customWidth="1"/>
    <col min="15631" max="15872" width="8.88671875" style="104"/>
    <col min="15873" max="15873" width="36.21875" style="104" bestFit="1" customWidth="1"/>
    <col min="15874" max="15874" width="3.77734375" style="104" bestFit="1" customWidth="1"/>
    <col min="15875" max="15876" width="4.77734375" style="104" customWidth="1"/>
    <col min="15877" max="15877" width="37.109375" style="104" bestFit="1" customWidth="1"/>
    <col min="15878" max="15878" width="12.88671875" style="104" customWidth="1"/>
    <col min="15879" max="15879" width="12.109375" style="104" customWidth="1"/>
    <col min="15880" max="15880" width="7.5546875" style="104" customWidth="1"/>
    <col min="15881" max="15881" width="14.33203125" style="104" customWidth="1"/>
    <col min="15882" max="15882" width="8.21875" style="104" customWidth="1"/>
    <col min="15883" max="15883" width="14.77734375" style="104" customWidth="1"/>
    <col min="15884" max="15884" width="5.21875" style="104" bestFit="1" customWidth="1"/>
    <col min="15885" max="15885" width="16.109375" style="104" customWidth="1"/>
    <col min="15886" max="15886" width="12.6640625" style="104" bestFit="1" customWidth="1"/>
    <col min="15887" max="16128" width="8.88671875" style="104"/>
    <col min="16129" max="16129" width="36.21875" style="104" bestFit="1" customWidth="1"/>
    <col min="16130" max="16130" width="3.77734375" style="104" bestFit="1" customWidth="1"/>
    <col min="16131" max="16132" width="4.77734375" style="104" customWidth="1"/>
    <col min="16133" max="16133" width="37.109375" style="104" bestFit="1" customWidth="1"/>
    <col min="16134" max="16134" width="12.88671875" style="104" customWidth="1"/>
    <col min="16135" max="16135" width="12.109375" style="104" customWidth="1"/>
    <col min="16136" max="16136" width="7.5546875" style="104" customWidth="1"/>
    <col min="16137" max="16137" width="14.33203125" style="104" customWidth="1"/>
    <col min="16138" max="16138" width="8.21875" style="104" customWidth="1"/>
    <col min="16139" max="16139" width="14.77734375" style="104" customWidth="1"/>
    <col min="16140" max="16140" width="5.21875" style="104" bestFit="1" customWidth="1"/>
    <col min="16141" max="16141" width="16.109375" style="104" customWidth="1"/>
    <col min="16142" max="16142" width="12.6640625" style="104" bestFit="1" customWidth="1"/>
    <col min="16143" max="16384" width="8.88671875" style="104"/>
  </cols>
  <sheetData>
    <row r="2" spans="1:15" x14ac:dyDescent="0.25">
      <c r="A2" s="204" t="s">
        <v>224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5" ht="14.4" x14ac:dyDescent="0.3">
      <c r="A3" s="210"/>
      <c r="B3" s="210"/>
      <c r="C3"/>
      <c r="D3"/>
      <c r="E3"/>
      <c r="F3"/>
      <c r="G3"/>
    </row>
    <row r="4" spans="1:15" ht="14.4" customHeight="1" x14ac:dyDescent="0.25">
      <c r="A4" s="211" t="s">
        <v>255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5" ht="14.4" customHeight="1" x14ac:dyDescent="0.25">
      <c r="A5" s="205" t="s">
        <v>226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8" spans="1:15" s="103" customFormat="1" ht="18" x14ac:dyDescent="0.35">
      <c r="A8" s="208" t="s">
        <v>0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5" ht="16.2" x14ac:dyDescent="0.35">
      <c r="A9" s="209" t="s">
        <v>251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1:15" x14ac:dyDescent="0.25">
      <c r="F10" s="105"/>
    </row>
    <row r="11" spans="1:15" s="108" customFormat="1" ht="13.2" x14ac:dyDescent="0.25">
      <c r="A11" s="1" t="s">
        <v>1</v>
      </c>
      <c r="B11" s="2"/>
      <c r="C11" s="3"/>
      <c r="D11" s="4"/>
      <c r="E11" s="4"/>
      <c r="F11" s="107"/>
      <c r="G11" s="5"/>
      <c r="H11" s="5"/>
      <c r="I11" s="5"/>
      <c r="J11" s="5"/>
      <c r="K11" s="5"/>
      <c r="L11" s="5"/>
    </row>
    <row r="12" spans="1:15" s="108" customFormat="1" ht="13.2" x14ac:dyDescent="0.25">
      <c r="A12" s="1" t="s">
        <v>2</v>
      </c>
      <c r="B12" s="2"/>
      <c r="C12" s="3"/>
      <c r="D12" s="4"/>
      <c r="E12" s="4"/>
      <c r="F12" s="5"/>
      <c r="G12" s="5"/>
      <c r="H12" s="5"/>
      <c r="I12" s="5"/>
      <c r="J12" s="5"/>
      <c r="K12" s="5"/>
      <c r="L12" s="5"/>
    </row>
    <row r="13" spans="1:15" x14ac:dyDescent="0.25">
      <c r="A13" s="109"/>
      <c r="B13" s="14"/>
      <c r="C13" s="109"/>
      <c r="D13" s="109"/>
      <c r="E13" s="109"/>
      <c r="F13" s="110"/>
      <c r="G13" s="110"/>
      <c r="H13" s="110"/>
      <c r="I13" s="110"/>
      <c r="J13" s="110"/>
      <c r="K13" s="110"/>
      <c r="L13" s="110"/>
    </row>
    <row r="14" spans="1:15" s="113" customFormat="1" ht="58.5" customHeight="1" x14ac:dyDescent="0.3">
      <c r="A14" s="6" t="s">
        <v>219</v>
      </c>
      <c r="B14" s="6" t="s">
        <v>4</v>
      </c>
      <c r="C14" s="6" t="s">
        <v>5</v>
      </c>
      <c r="D14" s="111" t="s">
        <v>6</v>
      </c>
      <c r="E14" s="112" t="s">
        <v>252</v>
      </c>
      <c r="F14" s="112" t="s">
        <v>253</v>
      </c>
      <c r="G14" s="112" t="s">
        <v>254</v>
      </c>
      <c r="H14" s="112" t="s">
        <v>175</v>
      </c>
      <c r="I14" s="112" t="s">
        <v>7</v>
      </c>
      <c r="J14" s="112" t="s">
        <v>176</v>
      </c>
      <c r="K14" s="112" t="s">
        <v>256</v>
      </c>
      <c r="L14" s="112" t="s">
        <v>257</v>
      </c>
    </row>
    <row r="15" spans="1:15" s="108" customFormat="1" ht="17.25" customHeight="1" x14ac:dyDescent="0.25">
      <c r="A15" s="15" t="s">
        <v>8</v>
      </c>
      <c r="B15" s="15"/>
      <c r="C15" s="114"/>
      <c r="D15" s="115" t="s">
        <v>10</v>
      </c>
      <c r="E15" s="116">
        <f>+E16+E18+E22+E26+E28+E31</f>
        <v>2145077.11</v>
      </c>
      <c r="F15" s="116">
        <f>+F16+F18+F22+F26+F28+F31</f>
        <v>3546793.2213398721</v>
      </c>
      <c r="G15" s="116">
        <f>+G16+G18+G22+G26+G28+G31</f>
        <v>3734335</v>
      </c>
      <c r="H15" s="92">
        <f>+G15/F15</f>
        <v>1.0528764342763912</v>
      </c>
      <c r="I15" s="116">
        <f>+I16+I18+I22+I26+I28+I31</f>
        <v>3892303</v>
      </c>
      <c r="J15" s="92">
        <f>+I15/G15</f>
        <v>1.0423015074973188</v>
      </c>
      <c r="K15" s="116">
        <f>+K16+K18+K22+K26+K28+K31</f>
        <v>3760650</v>
      </c>
      <c r="L15" s="92">
        <f>+K15/I15</f>
        <v>0.96617606594347871</v>
      </c>
    </row>
    <row r="16" spans="1:15" s="108" customFormat="1" x14ac:dyDescent="0.25">
      <c r="A16" s="15"/>
      <c r="B16" s="15">
        <v>61</v>
      </c>
      <c r="C16" s="117" t="s">
        <v>170</v>
      </c>
      <c r="D16" s="115" t="s">
        <v>11</v>
      </c>
      <c r="E16" s="116">
        <v>589837.79</v>
      </c>
      <c r="F16" s="116">
        <v>871362.33037084702</v>
      </c>
      <c r="G16" s="116">
        <v>1345500</v>
      </c>
      <c r="H16" s="92">
        <f>+G16/F16</f>
        <v>1.5441337697342994</v>
      </c>
      <c r="I16" s="116">
        <v>1363988</v>
      </c>
      <c r="J16" s="92">
        <f>+I16/G16</f>
        <v>1.0137406168710517</v>
      </c>
      <c r="K16" s="116">
        <v>1402250</v>
      </c>
      <c r="L16" s="92">
        <f>+K16/I16</f>
        <v>1.0280515664360683</v>
      </c>
      <c r="O16" s="175">
        <f>+G16-725000-7973</f>
        <v>612527</v>
      </c>
    </row>
    <row r="17" spans="1:16" s="108" customFormat="1" x14ac:dyDescent="0.25">
      <c r="A17" s="118"/>
      <c r="B17" s="118"/>
      <c r="C17" s="119"/>
      <c r="D17" s="120"/>
      <c r="E17" s="121"/>
      <c r="F17" s="121"/>
      <c r="G17" s="121"/>
      <c r="H17" s="92"/>
      <c r="I17" s="121"/>
      <c r="J17" s="92"/>
      <c r="K17" s="121"/>
      <c r="L17" s="92"/>
    </row>
    <row r="18" spans="1:16" s="108" customFormat="1" ht="27.6" x14ac:dyDescent="0.25">
      <c r="A18" s="122"/>
      <c r="B18" s="15">
        <v>63</v>
      </c>
      <c r="C18" s="123"/>
      <c r="D18" s="102" t="s">
        <v>12</v>
      </c>
      <c r="E18" s="124">
        <v>1303681.77</v>
      </c>
      <c r="F18" s="124">
        <f>+F19+F20</f>
        <v>2021214.8113127099</v>
      </c>
      <c r="G18" s="124">
        <f>+G19+G20</f>
        <v>1207925</v>
      </c>
      <c r="H18" s="92">
        <f>+G18/F18</f>
        <v>0.59762326757119599</v>
      </c>
      <c r="I18" s="124">
        <f>+I19+I20</f>
        <v>1315775</v>
      </c>
      <c r="J18" s="92">
        <f>+I18/G18</f>
        <v>1.0892853447026927</v>
      </c>
      <c r="K18" s="124">
        <f>+K19+K20</f>
        <v>1279650</v>
      </c>
      <c r="L18" s="92">
        <f>+K18/I18</f>
        <v>0.97254469799167786</v>
      </c>
    </row>
    <row r="19" spans="1:16" s="108" customFormat="1" x14ac:dyDescent="0.25">
      <c r="A19" s="114"/>
      <c r="B19" s="114"/>
      <c r="C19" s="117" t="s">
        <v>171</v>
      </c>
      <c r="D19" s="11" t="s">
        <v>12</v>
      </c>
      <c r="E19" s="166">
        <f>+E18</f>
        <v>1303681.77</v>
      </c>
      <c r="F19" s="93">
        <v>1638764.8113127099</v>
      </c>
      <c r="G19" s="93">
        <v>887925</v>
      </c>
      <c r="H19" s="7">
        <f>+G19/F19</f>
        <v>0.54182576649832992</v>
      </c>
      <c r="I19" s="93">
        <v>995775</v>
      </c>
      <c r="J19" s="7">
        <f>+I19/G19</f>
        <v>1.1214629613987668</v>
      </c>
      <c r="K19" s="93">
        <v>1119650</v>
      </c>
      <c r="L19" s="7">
        <f>+K19/I19</f>
        <v>1.1244005925033265</v>
      </c>
    </row>
    <row r="20" spans="1:16" s="108" customFormat="1" x14ac:dyDescent="0.25">
      <c r="A20" s="114"/>
      <c r="B20" s="114"/>
      <c r="C20" s="117" t="s">
        <v>172</v>
      </c>
      <c r="D20" s="11" t="s">
        <v>12</v>
      </c>
      <c r="E20" s="11">
        <v>0</v>
      </c>
      <c r="F20" s="93">
        <v>382450</v>
      </c>
      <c r="G20" s="93">
        <v>320000</v>
      </c>
      <c r="H20" s="7">
        <f>+G20/F20</f>
        <v>0.83671068113478886</v>
      </c>
      <c r="I20" s="93">
        <v>320000</v>
      </c>
      <c r="J20" s="7">
        <f>+I20/G20</f>
        <v>1</v>
      </c>
      <c r="K20" s="93">
        <v>160000</v>
      </c>
      <c r="L20" s="7">
        <f>+K20/I20</f>
        <v>0.5</v>
      </c>
    </row>
    <row r="21" spans="1:16" s="108" customFormat="1" x14ac:dyDescent="0.25">
      <c r="A21" s="114"/>
      <c r="B21" s="114"/>
      <c r="C21" s="117"/>
      <c r="D21" s="8"/>
      <c r="E21" s="8"/>
      <c r="F21" s="121"/>
      <c r="G21" s="121"/>
      <c r="H21" s="92"/>
      <c r="I21" s="121"/>
      <c r="J21" s="92"/>
      <c r="K21" s="121"/>
      <c r="L21" s="92"/>
      <c r="N21" s="136"/>
      <c r="P21" s="136"/>
    </row>
    <row r="22" spans="1:16" s="108" customFormat="1" x14ac:dyDescent="0.25">
      <c r="A22" s="15"/>
      <c r="B22" s="15">
        <v>64</v>
      </c>
      <c r="C22" s="117"/>
      <c r="D22" s="115" t="s">
        <v>13</v>
      </c>
      <c r="E22" s="116">
        <v>161038.90999999997</v>
      </c>
      <c r="F22" s="116">
        <f>SUM(F23:F24)</f>
        <v>226716.07875792554</v>
      </c>
      <c r="G22" s="116">
        <f>SUM(G23:G24)</f>
        <v>664520</v>
      </c>
      <c r="H22" s="92">
        <f>+G22/F22</f>
        <v>2.9310669258245969</v>
      </c>
      <c r="I22" s="116">
        <f>SUM(I23:I24)</f>
        <v>689550</v>
      </c>
      <c r="J22" s="92">
        <f>+I22/G22</f>
        <v>1.0376662854391139</v>
      </c>
      <c r="K22" s="116">
        <f>SUM(K23:K24)</f>
        <v>531640</v>
      </c>
      <c r="L22" s="92">
        <f>+K22/I22</f>
        <v>0.77099557682546593</v>
      </c>
    </row>
    <row r="23" spans="1:16" s="108" customFormat="1" x14ac:dyDescent="0.25">
      <c r="A23" s="114"/>
      <c r="B23" s="114"/>
      <c r="C23" s="117" t="s">
        <v>170</v>
      </c>
      <c r="D23" s="8" t="s">
        <v>13</v>
      </c>
      <c r="E23" s="137">
        <f>+E22-E24</f>
        <v>160408.40999999997</v>
      </c>
      <c r="F23" s="93">
        <v>17.631814821218633</v>
      </c>
      <c r="G23" s="93">
        <v>664520</v>
      </c>
      <c r="H23" s="7">
        <f>+G23/F23</f>
        <v>37688.689833578421</v>
      </c>
      <c r="I23" s="93">
        <v>689550</v>
      </c>
      <c r="J23" s="7">
        <f>+I23/G23</f>
        <v>1.0376662854391139</v>
      </c>
      <c r="K23" s="93">
        <v>531640</v>
      </c>
      <c r="L23" s="7">
        <f>+K23/I23</f>
        <v>0.77099557682546593</v>
      </c>
    </row>
    <row r="24" spans="1:16" s="108" customFormat="1" x14ac:dyDescent="0.25">
      <c r="A24" s="114"/>
      <c r="B24" s="114"/>
      <c r="C24" s="117" t="s">
        <v>173</v>
      </c>
      <c r="D24" s="8" t="s">
        <v>13</v>
      </c>
      <c r="E24" s="93">
        <v>630.5</v>
      </c>
      <c r="F24" s="93">
        <v>226698.44694310433</v>
      </c>
      <c r="G24" s="93">
        <v>0</v>
      </c>
      <c r="H24" s="7">
        <f>+G24/F24</f>
        <v>0</v>
      </c>
      <c r="I24" s="93">
        <v>0</v>
      </c>
      <c r="J24" s="7"/>
      <c r="K24" s="93">
        <v>0</v>
      </c>
      <c r="L24" s="7"/>
    </row>
    <row r="25" spans="1:16" s="108" customFormat="1" x14ac:dyDescent="0.25">
      <c r="A25" s="114"/>
      <c r="B25" s="114"/>
      <c r="C25" s="117"/>
      <c r="D25" s="8"/>
      <c r="E25" s="8"/>
      <c r="F25" s="93"/>
      <c r="G25" s="93"/>
      <c r="H25" s="92"/>
      <c r="I25" s="93"/>
      <c r="J25" s="92"/>
      <c r="K25" s="93"/>
      <c r="L25" s="92"/>
    </row>
    <row r="26" spans="1:16" s="108" customFormat="1" x14ac:dyDescent="0.25">
      <c r="A26" s="15"/>
      <c r="B26" s="15">
        <v>65</v>
      </c>
      <c r="C26" s="117" t="s">
        <v>174</v>
      </c>
      <c r="D26" s="115" t="s">
        <v>14</v>
      </c>
      <c r="E26" s="116">
        <v>17716.12</v>
      </c>
      <c r="F26" s="116">
        <v>37772.353911752631</v>
      </c>
      <c r="G26" s="116">
        <v>415990</v>
      </c>
      <c r="H26" s="92">
        <f>+G26/F26</f>
        <v>11.013081180269449</v>
      </c>
      <c r="I26" s="116">
        <v>422590</v>
      </c>
      <c r="J26" s="92">
        <f>+I26/G26</f>
        <v>1.0158657660039905</v>
      </c>
      <c r="K26" s="116">
        <v>444310</v>
      </c>
      <c r="L26" s="92">
        <f>+K26/I26</f>
        <v>1.0513973354788329</v>
      </c>
    </row>
    <row r="27" spans="1:16" s="108" customFormat="1" x14ac:dyDescent="0.25">
      <c r="A27" s="114"/>
      <c r="B27" s="114"/>
      <c r="C27" s="117"/>
      <c r="D27" s="8"/>
      <c r="E27" s="8"/>
      <c r="F27" s="93"/>
      <c r="G27" s="93"/>
      <c r="H27" s="92"/>
      <c r="I27" s="93"/>
      <c r="J27" s="92"/>
      <c r="K27" s="93"/>
      <c r="L27" s="92"/>
    </row>
    <row r="28" spans="1:16" s="108" customFormat="1" ht="27.6" x14ac:dyDescent="0.25">
      <c r="A28" s="15"/>
      <c r="B28" s="15">
        <v>66</v>
      </c>
      <c r="C28" s="117"/>
      <c r="D28" s="115" t="s">
        <v>15</v>
      </c>
      <c r="E28" s="116">
        <f>+E29</f>
        <v>779.97</v>
      </c>
      <c r="F28" s="116">
        <f>+F29</f>
        <v>389727.64698663697</v>
      </c>
      <c r="G28" s="116">
        <f>+G29</f>
        <v>100400</v>
      </c>
      <c r="H28" s="92">
        <f>+G28/F28</f>
        <v>0.25761580112750515</v>
      </c>
      <c r="I28" s="116">
        <f>+I29</f>
        <v>100400</v>
      </c>
      <c r="J28" s="92">
        <f>+I28/G28</f>
        <v>1</v>
      </c>
      <c r="K28" s="116">
        <f>+K29</f>
        <v>102800</v>
      </c>
      <c r="L28" s="92">
        <f>+K28/I28</f>
        <v>1.0239043824701195</v>
      </c>
    </row>
    <row r="29" spans="1:16" s="113" customFormat="1" ht="14.4" x14ac:dyDescent="0.3">
      <c r="A29" s="125"/>
      <c r="B29" s="125"/>
      <c r="C29" s="117" t="s">
        <v>174</v>
      </c>
      <c r="D29" s="11" t="s">
        <v>16</v>
      </c>
      <c r="E29" s="170">
        <v>779.97</v>
      </c>
      <c r="F29" s="93">
        <f>364727.646986637+25000</f>
        <v>389727.64698663697</v>
      </c>
      <c r="G29" s="93">
        <v>100400</v>
      </c>
      <c r="H29" s="7">
        <f>+G29/F29</f>
        <v>0.25761580112750515</v>
      </c>
      <c r="I29" s="93">
        <v>100400</v>
      </c>
      <c r="J29" s="7">
        <f>+I29/G29</f>
        <v>1</v>
      </c>
      <c r="K29" s="93">
        <v>102800</v>
      </c>
      <c r="L29" s="7">
        <f>+K29/I29</f>
        <v>1.0239043824701195</v>
      </c>
      <c r="M29" s="108"/>
    </row>
    <row r="30" spans="1:16" s="108" customFormat="1" x14ac:dyDescent="0.25">
      <c r="A30" s="114"/>
      <c r="B30" s="114"/>
      <c r="C30" s="117"/>
      <c r="D30" s="8"/>
      <c r="E30" s="8"/>
      <c r="F30" s="93"/>
      <c r="G30" s="93"/>
      <c r="H30" s="92"/>
      <c r="I30" s="93"/>
      <c r="J30" s="92"/>
      <c r="K30" s="93"/>
      <c r="L30" s="92"/>
    </row>
    <row r="31" spans="1:16" s="108" customFormat="1" x14ac:dyDescent="0.25">
      <c r="A31" s="114"/>
      <c r="B31" s="15">
        <v>68</v>
      </c>
      <c r="C31" s="117"/>
      <c r="D31" s="115" t="s">
        <v>258</v>
      </c>
      <c r="E31" s="116">
        <f>+E32</f>
        <v>72022.55</v>
      </c>
      <c r="F31" s="116">
        <f>+F32</f>
        <v>0</v>
      </c>
      <c r="G31" s="116">
        <f>+G32</f>
        <v>0</v>
      </c>
      <c r="H31" s="92"/>
      <c r="I31" s="116">
        <f>+I32</f>
        <v>0</v>
      </c>
      <c r="J31" s="92"/>
      <c r="K31" s="116">
        <f>+K32</f>
        <v>0</v>
      </c>
      <c r="L31" s="92"/>
    </row>
    <row r="32" spans="1:16" s="108" customFormat="1" ht="14.4" x14ac:dyDescent="0.3">
      <c r="A32" s="114"/>
      <c r="B32" s="125"/>
      <c r="C32" s="117" t="s">
        <v>174</v>
      </c>
      <c r="D32" s="11" t="s">
        <v>16</v>
      </c>
      <c r="E32" s="170">
        <v>72022.55</v>
      </c>
      <c r="F32" s="93">
        <v>0</v>
      </c>
      <c r="G32" s="93">
        <v>0</v>
      </c>
      <c r="H32" s="7"/>
      <c r="I32" s="93">
        <v>0</v>
      </c>
      <c r="J32" s="7"/>
      <c r="K32" s="93">
        <v>0</v>
      </c>
      <c r="L32" s="7"/>
    </row>
    <row r="33" spans="1:14" s="108" customFormat="1" x14ac:dyDescent="0.25">
      <c r="A33" s="126"/>
      <c r="B33" s="122"/>
      <c r="C33" s="123"/>
      <c r="D33" s="102"/>
      <c r="E33" s="102"/>
      <c r="F33" s="127"/>
      <c r="G33" s="127"/>
      <c r="H33" s="92"/>
      <c r="I33" s="127"/>
      <c r="J33" s="92"/>
      <c r="K33" s="127"/>
      <c r="L33" s="92"/>
    </row>
    <row r="34" spans="1:14" s="108" customFormat="1" x14ac:dyDescent="0.25">
      <c r="A34" s="128" t="s">
        <v>17</v>
      </c>
      <c r="B34" s="129"/>
      <c r="C34" s="123"/>
      <c r="D34" s="130" t="s">
        <v>18</v>
      </c>
      <c r="E34" s="131">
        <f>+E35</f>
        <v>12652.49</v>
      </c>
      <c r="F34" s="131">
        <f>+F35</f>
        <v>14306.781061026079</v>
      </c>
      <c r="G34" s="131">
        <f>+G35</f>
        <v>0</v>
      </c>
      <c r="H34" s="92">
        <f t="shared" ref="H34:H35" si="0">+G34/F34</f>
        <v>0</v>
      </c>
      <c r="I34" s="131">
        <f>+I35</f>
        <v>0</v>
      </c>
      <c r="J34" s="92"/>
      <c r="K34" s="131">
        <f>+K35</f>
        <v>0</v>
      </c>
      <c r="L34" s="92"/>
    </row>
    <row r="35" spans="1:14" s="113" customFormat="1" x14ac:dyDescent="0.25">
      <c r="A35" s="125"/>
      <c r="B35" s="125">
        <v>72</v>
      </c>
      <c r="C35" s="117" t="s">
        <v>173</v>
      </c>
      <c r="D35" s="102" t="s">
        <v>19</v>
      </c>
      <c r="E35" s="124">
        <v>12652.49</v>
      </c>
      <c r="F35" s="124">
        <v>14306.781061026079</v>
      </c>
      <c r="G35" s="124">
        <v>0</v>
      </c>
      <c r="H35" s="92">
        <f t="shared" si="0"/>
        <v>0</v>
      </c>
      <c r="I35" s="124">
        <v>0</v>
      </c>
      <c r="J35" s="92"/>
      <c r="K35" s="124">
        <v>0</v>
      </c>
      <c r="L35" s="92"/>
      <c r="M35" s="108"/>
    </row>
    <row r="36" spans="1:14" s="108" customFormat="1" x14ac:dyDescent="0.25">
      <c r="A36" s="15"/>
      <c r="B36" s="15"/>
      <c r="C36" s="114"/>
      <c r="D36" s="115"/>
      <c r="E36" s="115"/>
      <c r="F36" s="94"/>
      <c r="G36" s="94"/>
      <c r="H36" s="92"/>
      <c r="I36" s="94"/>
      <c r="J36" s="92"/>
      <c r="K36" s="94"/>
      <c r="L36" s="92"/>
    </row>
    <row r="37" spans="1:14" ht="14.4" x14ac:dyDescent="0.3">
      <c r="A37" s="132"/>
      <c r="B37" s="132"/>
      <c r="C37" s="132"/>
      <c r="D37" s="133" t="s">
        <v>169</v>
      </c>
      <c r="E37" s="134">
        <f>E15+E34</f>
        <v>2157729.6</v>
      </c>
      <c r="F37" s="134">
        <f>F15+F34</f>
        <v>3561100.0024008984</v>
      </c>
      <c r="G37" s="134">
        <f>G15+G34</f>
        <v>3734335</v>
      </c>
      <c r="H37" s="134">
        <f>+G37/F37</f>
        <v>1.0486464849294619</v>
      </c>
      <c r="I37" s="134">
        <f>I15+I34</f>
        <v>3892303</v>
      </c>
      <c r="J37" s="134">
        <f>+I37/G37</f>
        <v>1.0423015074973188</v>
      </c>
      <c r="K37" s="134">
        <f>K15+K34</f>
        <v>3760650</v>
      </c>
      <c r="L37" s="134">
        <f>+K37/I37</f>
        <v>0.96617606594347871</v>
      </c>
      <c r="M37" s="135"/>
      <c r="N37" s="135"/>
    </row>
    <row r="38" spans="1:14" x14ac:dyDescent="0.25">
      <c r="F38" s="138"/>
      <c r="G38" s="138"/>
      <c r="I38" s="136"/>
      <c r="J38" s="136"/>
      <c r="K38" s="136"/>
      <c r="L38" s="136"/>
      <c r="M38" s="135"/>
      <c r="N38" s="135"/>
    </row>
    <row r="39" spans="1:14" x14ac:dyDescent="0.25">
      <c r="A39" s="1" t="s">
        <v>166</v>
      </c>
      <c r="F39" s="136"/>
      <c r="G39" s="136"/>
      <c r="I39" s="136"/>
      <c r="K39" s="136"/>
    </row>
    <row r="40" spans="1:14" ht="20.399999999999999" x14ac:dyDescent="0.25">
      <c r="A40" s="6" t="s">
        <v>219</v>
      </c>
      <c r="B40" s="6" t="s">
        <v>4</v>
      </c>
      <c r="C40" s="6" t="s">
        <v>5</v>
      </c>
      <c r="D40" s="111" t="s">
        <v>167</v>
      </c>
      <c r="E40" s="163" t="s">
        <v>252</v>
      </c>
      <c r="F40" s="112" t="s">
        <v>253</v>
      </c>
      <c r="G40" s="112" t="s">
        <v>254</v>
      </c>
      <c r="H40" s="112" t="s">
        <v>175</v>
      </c>
      <c r="I40" s="112" t="s">
        <v>7</v>
      </c>
      <c r="J40" s="112" t="s">
        <v>176</v>
      </c>
      <c r="K40" s="112" t="s">
        <v>256</v>
      </c>
      <c r="L40" s="112" t="s">
        <v>257</v>
      </c>
    </row>
    <row r="41" spans="1:14" x14ac:dyDescent="0.25">
      <c r="F41" s="136"/>
      <c r="G41" s="136"/>
      <c r="I41" s="136"/>
      <c r="K41" s="136"/>
    </row>
    <row r="43" spans="1:14" x14ac:dyDescent="0.25">
      <c r="A43" s="126">
        <v>3</v>
      </c>
      <c r="B43" s="125" t="s">
        <v>128</v>
      </c>
      <c r="C43" s="117" t="s">
        <v>170</v>
      </c>
      <c r="D43" s="104" t="s">
        <v>137</v>
      </c>
      <c r="E43" s="137">
        <v>111423.42</v>
      </c>
      <c r="F43" s="93">
        <v>165000</v>
      </c>
      <c r="G43" s="93">
        <v>181500</v>
      </c>
      <c r="H43" s="7">
        <f t="shared" ref="H43:H64" si="1">+G43/F43</f>
        <v>1.1000000000000001</v>
      </c>
      <c r="I43" s="93">
        <v>190600</v>
      </c>
      <c r="J43" s="7">
        <f t="shared" ref="J43:J64" si="2">+I43/G43</f>
        <v>1.050137741046832</v>
      </c>
      <c r="K43" s="93">
        <v>190575.00000000003</v>
      </c>
      <c r="L43" s="7">
        <f t="shared" ref="L43:L64" si="3">+K43/I43</f>
        <v>0.99986883525708303</v>
      </c>
    </row>
    <row r="44" spans="1:14" x14ac:dyDescent="0.25">
      <c r="A44" s="126">
        <v>3</v>
      </c>
      <c r="B44" s="125" t="s">
        <v>127</v>
      </c>
      <c r="C44" s="117" t="s">
        <v>170</v>
      </c>
      <c r="D44" s="104" t="s">
        <v>138</v>
      </c>
      <c r="E44" s="137">
        <v>339927.15</v>
      </c>
      <c r="F44" s="93">
        <f>1010200+15000</f>
        <v>1025200</v>
      </c>
      <c r="G44" s="93">
        <v>972125</v>
      </c>
      <c r="H44" s="7">
        <f t="shared" si="1"/>
        <v>0.94822961373390557</v>
      </c>
      <c r="I44" s="93">
        <v>980038</v>
      </c>
      <c r="J44" s="7">
        <f t="shared" si="2"/>
        <v>1.0081398997042561</v>
      </c>
      <c r="K44" s="93">
        <v>1009425</v>
      </c>
      <c r="L44" s="7">
        <f t="shared" si="3"/>
        <v>1.0299855719880249</v>
      </c>
    </row>
    <row r="45" spans="1:14" x14ac:dyDescent="0.25">
      <c r="A45" s="126">
        <v>3</v>
      </c>
      <c r="B45" s="125" t="s">
        <v>129</v>
      </c>
      <c r="C45" s="117" t="s">
        <v>170</v>
      </c>
      <c r="D45" s="104" t="s">
        <v>139</v>
      </c>
      <c r="E45" s="137">
        <v>0</v>
      </c>
      <c r="F45" s="93">
        <v>1000</v>
      </c>
      <c r="G45" s="93">
        <v>1050</v>
      </c>
      <c r="H45" s="7">
        <f t="shared" si="1"/>
        <v>1.05</v>
      </c>
      <c r="I45" s="93">
        <v>1100</v>
      </c>
      <c r="J45" s="7">
        <f t="shared" si="2"/>
        <v>1.0476190476190477</v>
      </c>
      <c r="K45" s="93">
        <v>1100</v>
      </c>
      <c r="L45" s="7">
        <f t="shared" si="3"/>
        <v>1</v>
      </c>
    </row>
    <row r="46" spans="1:14" x14ac:dyDescent="0.25">
      <c r="A46" s="126">
        <v>3</v>
      </c>
      <c r="B46" s="125" t="s">
        <v>133</v>
      </c>
      <c r="C46" s="117" t="s">
        <v>170</v>
      </c>
      <c r="D46" s="104" t="s">
        <v>140</v>
      </c>
      <c r="E46" s="137">
        <v>26117.54</v>
      </c>
      <c r="F46" s="93">
        <v>48000</v>
      </c>
      <c r="G46" s="93">
        <v>100400</v>
      </c>
      <c r="H46" s="7">
        <f t="shared" si="1"/>
        <v>2.0916666666666668</v>
      </c>
      <c r="I46" s="93">
        <v>100400</v>
      </c>
      <c r="J46" s="7">
        <f t="shared" si="2"/>
        <v>1</v>
      </c>
      <c r="K46" s="93">
        <v>102800</v>
      </c>
      <c r="L46" s="7">
        <f t="shared" si="3"/>
        <v>1.0239043824701195</v>
      </c>
    </row>
    <row r="47" spans="1:14" x14ac:dyDescent="0.25">
      <c r="A47" s="126">
        <v>3</v>
      </c>
      <c r="B47" s="125" t="s">
        <v>135</v>
      </c>
      <c r="C47" s="117" t="s">
        <v>170</v>
      </c>
      <c r="D47" s="104" t="s">
        <v>141</v>
      </c>
      <c r="E47" s="137">
        <v>29345.7</v>
      </c>
      <c r="F47" s="93">
        <v>40000</v>
      </c>
      <c r="G47" s="93">
        <v>42000</v>
      </c>
      <c r="H47" s="7">
        <f t="shared" si="1"/>
        <v>1.05</v>
      </c>
      <c r="I47" s="93">
        <v>43000</v>
      </c>
      <c r="J47" s="7">
        <f t="shared" si="2"/>
        <v>1.0238095238095237</v>
      </c>
      <c r="K47" s="93">
        <v>45000</v>
      </c>
      <c r="L47" s="7">
        <f t="shared" si="3"/>
        <v>1.0465116279069768</v>
      </c>
    </row>
    <row r="48" spans="1:14" x14ac:dyDescent="0.25">
      <c r="A48" s="126">
        <v>3</v>
      </c>
      <c r="B48" s="125" t="s">
        <v>136</v>
      </c>
      <c r="C48" s="117" t="s">
        <v>170</v>
      </c>
      <c r="D48" s="104" t="s">
        <v>142</v>
      </c>
      <c r="E48" s="137">
        <v>98474.75</v>
      </c>
      <c r="F48" s="93">
        <v>146500</v>
      </c>
      <c r="G48" s="93">
        <v>123825</v>
      </c>
      <c r="H48" s="7">
        <f t="shared" si="1"/>
        <v>0.84522184300341296</v>
      </c>
      <c r="I48" s="93">
        <v>124250</v>
      </c>
      <c r="J48" s="7">
        <f t="shared" si="2"/>
        <v>1.003432263274783</v>
      </c>
      <c r="K48" s="93">
        <v>131150</v>
      </c>
      <c r="L48" s="7">
        <f t="shared" si="3"/>
        <v>1.0555331991951711</v>
      </c>
    </row>
    <row r="49" spans="1:12" x14ac:dyDescent="0.25">
      <c r="A49" s="126">
        <v>3</v>
      </c>
      <c r="B49" s="125" t="s">
        <v>132</v>
      </c>
      <c r="C49" s="117" t="s">
        <v>170</v>
      </c>
      <c r="D49" s="104" t="s">
        <v>143</v>
      </c>
      <c r="E49" s="137">
        <v>3300</v>
      </c>
      <c r="F49" s="93">
        <v>10000</v>
      </c>
      <c r="G49" s="93">
        <v>25000</v>
      </c>
      <c r="H49" s="7">
        <f t="shared" si="1"/>
        <v>2.5</v>
      </c>
      <c r="I49" s="93">
        <v>25000</v>
      </c>
      <c r="J49" s="7">
        <f t="shared" si="2"/>
        <v>1</v>
      </c>
      <c r="K49" s="93">
        <v>25000</v>
      </c>
      <c r="L49" s="7">
        <f t="shared" si="3"/>
        <v>1</v>
      </c>
    </row>
    <row r="50" spans="1:12" x14ac:dyDescent="0.25">
      <c r="A50" s="126">
        <v>4</v>
      </c>
      <c r="B50" s="125" t="s">
        <v>134</v>
      </c>
      <c r="C50" s="117" t="s">
        <v>170</v>
      </c>
      <c r="D50" s="104" t="s">
        <v>144</v>
      </c>
      <c r="E50" s="137">
        <v>0</v>
      </c>
      <c r="F50" s="93">
        <v>19400</v>
      </c>
      <c r="G50" s="93">
        <v>20370</v>
      </c>
      <c r="H50" s="7">
        <f t="shared" si="1"/>
        <v>1.05</v>
      </c>
      <c r="I50" s="93">
        <v>20400</v>
      </c>
      <c r="J50" s="7">
        <f t="shared" si="2"/>
        <v>1.0014727540500736</v>
      </c>
      <c r="K50" s="93">
        <v>21340</v>
      </c>
      <c r="L50" s="7">
        <f t="shared" si="3"/>
        <v>1.0460784313725491</v>
      </c>
    </row>
    <row r="51" spans="1:12" x14ac:dyDescent="0.25">
      <c r="A51" s="126">
        <v>4</v>
      </c>
      <c r="B51" s="125" t="s">
        <v>130</v>
      </c>
      <c r="C51" s="117" t="s">
        <v>170</v>
      </c>
      <c r="D51" s="104" t="s">
        <v>145</v>
      </c>
      <c r="E51" s="137">
        <v>38379.53</v>
      </c>
      <c r="F51" s="93">
        <v>453000</v>
      </c>
      <c r="G51" s="93">
        <v>644150</v>
      </c>
      <c r="H51" s="7">
        <f t="shared" si="1"/>
        <v>1.4219646799116998</v>
      </c>
      <c r="I51" s="93">
        <v>669150</v>
      </c>
      <c r="J51" s="7">
        <f t="shared" si="2"/>
        <v>1.0388108359854071</v>
      </c>
      <c r="K51" s="93">
        <v>510300</v>
      </c>
      <c r="L51" s="7">
        <f t="shared" si="3"/>
        <v>0.76260928043039677</v>
      </c>
    </row>
    <row r="52" spans="1:12" x14ac:dyDescent="0.25">
      <c r="E52" s="94">
        <f>+SUM(E43:E51)</f>
        <v>646968.09000000008</v>
      </c>
      <c r="F52" s="94">
        <f>+SUM(F43:F51)</f>
        <v>1908100</v>
      </c>
      <c r="G52" s="94">
        <f>+SUM(G43:G51)</f>
        <v>2110420</v>
      </c>
      <c r="H52" s="92">
        <f t="shared" si="1"/>
        <v>1.1060321786069913</v>
      </c>
      <c r="I52" s="94">
        <f>+SUM(I43:I51)</f>
        <v>2153938</v>
      </c>
      <c r="J52" s="92">
        <f t="shared" si="2"/>
        <v>1.0206205399873012</v>
      </c>
      <c r="K52" s="94">
        <f>+SUM(K43:K51)</f>
        <v>2036690</v>
      </c>
      <c r="L52" s="92">
        <f t="shared" si="3"/>
        <v>0.94556574980338337</v>
      </c>
    </row>
    <row r="54" spans="1:12" x14ac:dyDescent="0.25">
      <c r="A54" s="126">
        <v>3</v>
      </c>
      <c r="B54" s="125">
        <v>38</v>
      </c>
      <c r="C54" s="117" t="s">
        <v>174</v>
      </c>
      <c r="D54" s="104" t="s">
        <v>143</v>
      </c>
      <c r="E54" s="137">
        <v>194560.83</v>
      </c>
      <c r="F54" s="137">
        <v>382500</v>
      </c>
      <c r="G54" s="137">
        <v>415990</v>
      </c>
      <c r="H54" s="7">
        <f t="shared" si="1"/>
        <v>1.0875555555555556</v>
      </c>
      <c r="I54" s="137">
        <v>422590</v>
      </c>
      <c r="J54" s="7">
        <f t="shared" si="2"/>
        <v>1.0158657660039905</v>
      </c>
      <c r="K54" s="137">
        <v>444310</v>
      </c>
      <c r="L54" s="7">
        <f t="shared" si="3"/>
        <v>1.0513973354788329</v>
      </c>
    </row>
    <row r="55" spans="1:12" x14ac:dyDescent="0.25">
      <c r="E55" s="94">
        <f>+SUM(E54:E54)</f>
        <v>194560.83</v>
      </c>
      <c r="F55" s="94">
        <f>+SUM(F54:F54)</f>
        <v>382500</v>
      </c>
      <c r="G55" s="94">
        <f>+SUM(G54:G54)</f>
        <v>415990</v>
      </c>
      <c r="H55" s="92">
        <f t="shared" si="1"/>
        <v>1.0875555555555556</v>
      </c>
      <c r="I55" s="94">
        <f>+SUM(I54:I54)</f>
        <v>422590</v>
      </c>
      <c r="J55" s="92">
        <f t="shared" si="2"/>
        <v>1.0158657660039905</v>
      </c>
      <c r="K55" s="94">
        <f>+SUM(K54:K54)</f>
        <v>444310</v>
      </c>
      <c r="L55" s="92">
        <f t="shared" si="3"/>
        <v>1.0513973354788329</v>
      </c>
    </row>
    <row r="56" spans="1:12" x14ac:dyDescent="0.25">
      <c r="F56" s="138"/>
      <c r="G56" s="138"/>
      <c r="I56" s="138"/>
      <c r="K56" s="138"/>
    </row>
    <row r="57" spans="1:12" x14ac:dyDescent="0.25">
      <c r="A57" s="126">
        <v>3</v>
      </c>
      <c r="B57" s="125" t="s">
        <v>128</v>
      </c>
      <c r="C57" s="117" t="s">
        <v>171</v>
      </c>
      <c r="D57" s="104" t="s">
        <v>137</v>
      </c>
      <c r="E57" s="137">
        <v>19223.400000000001</v>
      </c>
      <c r="F57" s="137">
        <v>35000</v>
      </c>
      <c r="G57" s="137">
        <v>36750</v>
      </c>
      <c r="H57" s="7">
        <f t="shared" si="1"/>
        <v>1.05</v>
      </c>
      <c r="I57" s="137">
        <v>36750</v>
      </c>
      <c r="J57" s="7">
        <f t="shared" si="2"/>
        <v>1</v>
      </c>
      <c r="K57" s="137">
        <v>38500</v>
      </c>
      <c r="L57" s="7">
        <f t="shared" si="3"/>
        <v>1.0476190476190477</v>
      </c>
    </row>
    <row r="58" spans="1:12" x14ac:dyDescent="0.25">
      <c r="A58" s="126">
        <v>3</v>
      </c>
      <c r="B58" s="125" t="s">
        <v>127</v>
      </c>
      <c r="C58" s="117" t="s">
        <v>171</v>
      </c>
      <c r="D58" s="104" t="s">
        <v>138</v>
      </c>
      <c r="E58" s="137">
        <v>151841.72</v>
      </c>
      <c r="F58" s="137">
        <f>146500+50000</f>
        <v>196500</v>
      </c>
      <c r="G58" s="137">
        <v>170525</v>
      </c>
      <c r="H58" s="7">
        <f t="shared" si="1"/>
        <v>0.86781170483460557</v>
      </c>
      <c r="I58" s="137">
        <v>176525</v>
      </c>
      <c r="J58" s="7">
        <f t="shared" si="2"/>
        <v>1.0351854566779064</v>
      </c>
      <c r="K58" s="137">
        <v>171150</v>
      </c>
      <c r="L58" s="7">
        <f t="shared" si="3"/>
        <v>0.96955105509134687</v>
      </c>
    </row>
    <row r="59" spans="1:12" x14ac:dyDescent="0.25">
      <c r="A59" s="126">
        <v>3</v>
      </c>
      <c r="B59" s="217" t="s">
        <v>132</v>
      </c>
      <c r="C59" s="117" t="s">
        <v>171</v>
      </c>
      <c r="D59" s="104" t="s">
        <v>143</v>
      </c>
      <c r="E59" s="137">
        <v>0</v>
      </c>
      <c r="F59" s="137">
        <v>0</v>
      </c>
      <c r="G59" s="137">
        <v>50000</v>
      </c>
      <c r="H59" s="7"/>
      <c r="I59" s="137">
        <v>50000</v>
      </c>
      <c r="J59" s="7">
        <f t="shared" si="2"/>
        <v>1</v>
      </c>
      <c r="K59" s="137">
        <v>50000</v>
      </c>
      <c r="L59" s="7">
        <f t="shared" si="3"/>
        <v>1</v>
      </c>
    </row>
    <row r="60" spans="1:12" x14ac:dyDescent="0.25">
      <c r="E60" s="94">
        <f>+SUM(E57:E59)</f>
        <v>171065.12</v>
      </c>
      <c r="F60" s="94">
        <f>+SUM(F57:F59)</f>
        <v>231500</v>
      </c>
      <c r="G60" s="94">
        <f>+SUM(G57:G59)</f>
        <v>257275</v>
      </c>
      <c r="H60" s="92">
        <f t="shared" si="1"/>
        <v>1.1113390928725702</v>
      </c>
      <c r="I60" s="94">
        <f>+SUM(I57:I59)</f>
        <v>263275</v>
      </c>
      <c r="J60" s="92">
        <f t="shared" si="2"/>
        <v>1.0233213487513362</v>
      </c>
      <c r="K60" s="94">
        <f>+SUM(K57:K59)</f>
        <v>259650</v>
      </c>
      <c r="L60" s="92">
        <f t="shared" si="3"/>
        <v>0.98623112714841898</v>
      </c>
    </row>
    <row r="61" spans="1:12" x14ac:dyDescent="0.25">
      <c r="F61" s="138"/>
      <c r="G61" s="138"/>
      <c r="I61" s="138"/>
      <c r="K61" s="138"/>
    </row>
    <row r="62" spans="1:12" x14ac:dyDescent="0.25">
      <c r="A62" s="126">
        <v>3</v>
      </c>
      <c r="B62" s="125" t="s">
        <v>128</v>
      </c>
      <c r="C62" s="117" t="s">
        <v>172</v>
      </c>
      <c r="D62" s="104" t="s">
        <v>137</v>
      </c>
      <c r="E62" s="186">
        <v>152817.43</v>
      </c>
      <c r="F62" s="137">
        <v>305700.98586756241</v>
      </c>
      <c r="G62" s="137">
        <v>305700.98586756241</v>
      </c>
      <c r="H62" s="7">
        <f t="shared" si="1"/>
        <v>1</v>
      </c>
      <c r="I62" s="137">
        <v>305700.98586756241</v>
      </c>
      <c r="J62" s="7">
        <f t="shared" si="2"/>
        <v>1</v>
      </c>
      <c r="K62" s="137">
        <v>152850.49293378121</v>
      </c>
      <c r="L62" s="7">
        <f t="shared" si="3"/>
        <v>0.5</v>
      </c>
    </row>
    <row r="63" spans="1:12" x14ac:dyDescent="0.25">
      <c r="A63" s="126">
        <v>3</v>
      </c>
      <c r="B63" s="125" t="s">
        <v>127</v>
      </c>
      <c r="C63" s="117" t="s">
        <v>172</v>
      </c>
      <c r="D63" s="104" t="s">
        <v>138</v>
      </c>
      <c r="E63" s="186">
        <v>6726.65</v>
      </c>
      <c r="F63" s="137">
        <v>14299.014132437567</v>
      </c>
      <c r="G63" s="137">
        <v>14299.014132437567</v>
      </c>
      <c r="H63" s="7">
        <f t="shared" si="1"/>
        <v>1</v>
      </c>
      <c r="I63" s="137">
        <v>14299.014132437567</v>
      </c>
      <c r="J63" s="7">
        <f t="shared" si="2"/>
        <v>1</v>
      </c>
      <c r="K63" s="137">
        <v>7149.5070662187836</v>
      </c>
      <c r="L63" s="7">
        <f t="shared" si="3"/>
        <v>0.5</v>
      </c>
    </row>
    <row r="64" spans="1:12" x14ac:dyDescent="0.25">
      <c r="E64" s="94">
        <f>+SUM(E62:E63)</f>
        <v>159544.07999999999</v>
      </c>
      <c r="F64" s="94">
        <f>+SUM(F62:F63)</f>
        <v>320000</v>
      </c>
      <c r="G64" s="94">
        <f>+SUM(G62:G63)</f>
        <v>320000</v>
      </c>
      <c r="H64" s="92">
        <f t="shared" si="1"/>
        <v>1</v>
      </c>
      <c r="I64" s="94">
        <f>+SUM(I62:I63)</f>
        <v>320000</v>
      </c>
      <c r="J64" s="92">
        <f t="shared" si="2"/>
        <v>1</v>
      </c>
      <c r="K64" s="94">
        <f>+SUM(K62:K63)</f>
        <v>160000</v>
      </c>
      <c r="L64" s="92">
        <f t="shared" si="3"/>
        <v>0.5</v>
      </c>
    </row>
    <row r="65" spans="1:12" x14ac:dyDescent="0.25">
      <c r="F65" s="138"/>
      <c r="G65" s="138"/>
      <c r="I65" s="138"/>
      <c r="K65" s="138"/>
    </row>
    <row r="66" spans="1:12" x14ac:dyDescent="0.25">
      <c r="A66" s="126">
        <v>3</v>
      </c>
      <c r="B66" s="125">
        <v>34</v>
      </c>
      <c r="C66" s="139" t="s">
        <v>173</v>
      </c>
      <c r="D66" s="104" t="s">
        <v>139</v>
      </c>
      <c r="E66" s="137">
        <v>764.8</v>
      </c>
      <c r="F66" s="137">
        <v>11000</v>
      </c>
      <c r="G66" s="137">
        <v>0</v>
      </c>
      <c r="H66" s="7">
        <f t="shared" ref="H66:H68" si="4">+G66/F66</f>
        <v>0</v>
      </c>
      <c r="I66" s="137">
        <v>0</v>
      </c>
      <c r="J66" s="7"/>
      <c r="K66" s="137">
        <v>0</v>
      </c>
      <c r="L66" s="7"/>
    </row>
    <row r="67" spans="1:12" x14ac:dyDescent="0.25">
      <c r="A67" s="126">
        <v>4</v>
      </c>
      <c r="B67" s="125">
        <v>42</v>
      </c>
      <c r="C67" s="139">
        <v>54.71</v>
      </c>
      <c r="D67" s="104" t="s">
        <v>145</v>
      </c>
      <c r="E67" s="137">
        <f>662766.34-5415.73</f>
        <v>657350.61</v>
      </c>
      <c r="F67" s="137">
        <v>683000</v>
      </c>
      <c r="G67" s="137">
        <v>630650</v>
      </c>
      <c r="H67" s="7">
        <f t="shared" si="4"/>
        <v>0.92335285505124454</v>
      </c>
      <c r="I67" s="137">
        <v>732500</v>
      </c>
      <c r="J67" s="7">
        <f t="shared" ref="J67:J68" si="5">+I67/G67</f>
        <v>1.1615000396416395</v>
      </c>
      <c r="K67" s="137">
        <v>860000</v>
      </c>
      <c r="L67" s="7">
        <f t="shared" ref="L67:L68" si="6">+K67/I67</f>
        <v>1.1740614334470989</v>
      </c>
    </row>
    <row r="68" spans="1:12" x14ac:dyDescent="0.25">
      <c r="E68" s="94">
        <f>+SUM(E66:E67)</f>
        <v>658115.41</v>
      </c>
      <c r="F68" s="94">
        <f>+SUM(F66:F67)</f>
        <v>694000</v>
      </c>
      <c r="G68" s="94">
        <f>+SUM(G66:G67)</f>
        <v>630650</v>
      </c>
      <c r="H68" s="92">
        <f t="shared" si="4"/>
        <v>0.9087175792507205</v>
      </c>
      <c r="I68" s="94">
        <f>+SUM(I66:I67)</f>
        <v>732500</v>
      </c>
      <c r="J68" s="92">
        <f t="shared" si="5"/>
        <v>1.1615000396416395</v>
      </c>
      <c r="K68" s="94">
        <f>+SUM(K66:K67)</f>
        <v>860000</v>
      </c>
      <c r="L68" s="92">
        <f t="shared" si="6"/>
        <v>1.1740614334470989</v>
      </c>
    </row>
    <row r="71" spans="1:12" ht="14.4" x14ac:dyDescent="0.3">
      <c r="A71" s="132"/>
      <c r="B71" s="132"/>
      <c r="C71" s="132"/>
      <c r="D71" s="133" t="s">
        <v>168</v>
      </c>
      <c r="E71" s="134">
        <f>+E52+E55+E60+E64+E68</f>
        <v>1830253.5300000003</v>
      </c>
      <c r="F71" s="134">
        <f>+F52+F55+F60+F64+F68</f>
        <v>3536100</v>
      </c>
      <c r="G71" s="134">
        <f>+G52+G55+G60+G64+G68</f>
        <v>3734335</v>
      </c>
      <c r="H71" s="134">
        <f>+G71/F71</f>
        <v>1.0560603489720313</v>
      </c>
      <c r="I71" s="134">
        <f>+I52+I55+I60+I64+I68</f>
        <v>3892303</v>
      </c>
      <c r="J71" s="134">
        <f>+I71/G71</f>
        <v>1.0423015074973188</v>
      </c>
      <c r="K71" s="134">
        <f>+K52+K55+K60+K64+K68</f>
        <v>3760650</v>
      </c>
      <c r="L71" s="134">
        <f>+K71/I71</f>
        <v>0.96617606594347871</v>
      </c>
    </row>
    <row r="73" spans="1:12" ht="14.4" x14ac:dyDescent="0.3">
      <c r="C73" s="135"/>
      <c r="D73" s="16"/>
      <c r="E73" s="136"/>
      <c r="F73" s="136"/>
      <c r="G73" s="138"/>
      <c r="I73" s="136"/>
      <c r="K73" s="136"/>
    </row>
    <row r="74" spans="1:12" x14ac:dyDescent="0.25">
      <c r="E74" s="135"/>
      <c r="F74" s="136"/>
      <c r="G74" s="136"/>
      <c r="I74" s="136"/>
      <c r="K74" s="136"/>
    </row>
    <row r="75" spans="1:12" x14ac:dyDescent="0.25">
      <c r="E75" s="135"/>
      <c r="F75" s="136"/>
      <c r="G75" s="136"/>
      <c r="I75" s="136"/>
      <c r="K75" s="136"/>
    </row>
    <row r="76" spans="1:12" x14ac:dyDescent="0.25">
      <c r="E76" s="135"/>
    </row>
    <row r="77" spans="1:12" x14ac:dyDescent="0.25">
      <c r="E77" s="135"/>
    </row>
    <row r="78" spans="1:12" x14ac:dyDescent="0.25">
      <c r="E78" s="135"/>
      <c r="G78" s="136"/>
    </row>
    <row r="79" spans="1:12" x14ac:dyDescent="0.25">
      <c r="C79" s="135"/>
      <c r="D79" s="135"/>
      <c r="E79" s="135"/>
    </row>
  </sheetData>
  <mergeCells count="6">
    <mergeCell ref="A8:L8"/>
    <mergeCell ref="A9:L9"/>
    <mergeCell ref="A3:B3"/>
    <mergeCell ref="A2:L2"/>
    <mergeCell ref="A4:L4"/>
    <mergeCell ref="A5:L5"/>
  </mergeCells>
  <pageMargins left="0.11811023622047245" right="0.11811023622047245" top="0.55118110236220474" bottom="0.35433070866141736" header="0.31496062992125984" footer="0.31496062992125984"/>
  <pageSetup scale="60" orientation="landscape" r:id="rId1"/>
  <headerFooter>
    <oddFooter>&amp;C&amp;P/&amp;N&amp;ROpćina Šestanovac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22BD-C817-4163-BE4B-39DFC259BF89}">
  <sheetPr>
    <tabColor rgb="FF92D050"/>
  </sheetPr>
  <dimension ref="A1:J117"/>
  <sheetViews>
    <sheetView workbookViewId="0">
      <pane ySplit="2" topLeftCell="A97" activePane="bottomLeft" state="frozen"/>
      <selection pane="bottomLeft" activeCell="A106" sqref="A106"/>
    </sheetView>
  </sheetViews>
  <sheetFormatPr defaultRowHeight="14.4" x14ac:dyDescent="0.3"/>
  <cols>
    <col min="1" max="1" width="52.77734375" bestFit="1" customWidth="1"/>
    <col min="2" max="2" width="85.77734375" bestFit="1" customWidth="1"/>
    <col min="3" max="5" width="11.5546875" bestFit="1" customWidth="1"/>
    <col min="6" max="6" width="9.88671875" bestFit="1" customWidth="1"/>
    <col min="7" max="7" width="11.5546875" bestFit="1" customWidth="1"/>
    <col min="8" max="8" width="9.88671875" bestFit="1" customWidth="1"/>
    <col min="9" max="9" width="11.5546875" bestFit="1" customWidth="1"/>
    <col min="10" max="10" width="9.88671875" bestFit="1" customWidth="1"/>
  </cols>
  <sheetData>
    <row r="1" spans="1:10" x14ac:dyDescent="0.3">
      <c r="A1" s="212" t="s">
        <v>164</v>
      </c>
      <c r="B1" s="212" t="s">
        <v>165</v>
      </c>
      <c r="C1" s="32"/>
      <c r="D1" s="32"/>
      <c r="E1" s="33"/>
      <c r="F1" s="34" t="s">
        <v>23</v>
      </c>
      <c r="G1" s="32"/>
      <c r="H1" s="34" t="s">
        <v>23</v>
      </c>
      <c r="I1" s="32"/>
      <c r="J1" s="34" t="s">
        <v>23</v>
      </c>
    </row>
    <row r="2" spans="1:10" x14ac:dyDescent="0.3">
      <c r="A2" s="212"/>
      <c r="B2" s="212"/>
      <c r="C2" s="37" t="s">
        <v>24</v>
      </c>
      <c r="D2" s="37" t="s">
        <v>25</v>
      </c>
      <c r="E2" s="37" t="s">
        <v>26</v>
      </c>
      <c r="F2" s="38" t="s">
        <v>27</v>
      </c>
      <c r="G2" s="37" t="s">
        <v>28</v>
      </c>
      <c r="H2" s="38" t="s">
        <v>29</v>
      </c>
      <c r="I2" s="37" t="s">
        <v>259</v>
      </c>
      <c r="J2" s="38" t="s">
        <v>260</v>
      </c>
    </row>
    <row r="3" spans="1:10" x14ac:dyDescent="0.3">
      <c r="A3" s="42" t="s">
        <v>33</v>
      </c>
      <c r="B3" s="42"/>
      <c r="C3" s="24">
        <f>+C4</f>
        <v>6427.8</v>
      </c>
      <c r="D3" s="24">
        <f>+D4</f>
        <v>13500</v>
      </c>
      <c r="E3" s="24">
        <f>+E4</f>
        <v>13500</v>
      </c>
      <c r="F3" s="45">
        <f>+E3/D3-1</f>
        <v>0</v>
      </c>
      <c r="G3" s="24">
        <f>+G4</f>
        <v>14175</v>
      </c>
      <c r="H3" s="45">
        <f>+G3/E3-1</f>
        <v>5.0000000000000044E-2</v>
      </c>
      <c r="I3" s="24">
        <f>+I4</f>
        <v>14850</v>
      </c>
      <c r="J3" s="45">
        <f>+I3/G3-1</f>
        <v>4.7619047619047672E-2</v>
      </c>
    </row>
    <row r="4" spans="1:10" x14ac:dyDescent="0.3">
      <c r="A4" s="47"/>
      <c r="B4" s="47" t="s">
        <v>34</v>
      </c>
      <c r="C4" s="50">
        <v>6427.8</v>
      </c>
      <c r="D4" s="50">
        <v>13500</v>
      </c>
      <c r="E4" s="50">
        <v>13500</v>
      </c>
      <c r="F4" s="51">
        <f>+E4/D4-1</f>
        <v>0</v>
      </c>
      <c r="G4" s="50">
        <v>14175</v>
      </c>
      <c r="H4" s="51">
        <f>+G4/E4-1</f>
        <v>5.0000000000000044E-2</v>
      </c>
      <c r="I4" s="50">
        <v>14850</v>
      </c>
      <c r="J4" s="51">
        <f>+I4/G4-1</f>
        <v>4.7619047619047672E-2</v>
      </c>
    </row>
    <row r="5" spans="1:10" x14ac:dyDescent="0.3">
      <c r="A5" s="42" t="s">
        <v>37</v>
      </c>
      <c r="B5" s="42"/>
      <c r="C5" s="24">
        <f>+SUM(C6:C20)</f>
        <v>414028.24</v>
      </c>
      <c r="D5" s="24">
        <f>+SUM(D6:D20)</f>
        <v>873900</v>
      </c>
      <c r="E5" s="24">
        <f>+SUM(E6:E20)</f>
        <v>701595</v>
      </c>
      <c r="F5" s="45">
        <f>+E5/D5-1</f>
        <v>-0.19716786817713694</v>
      </c>
      <c r="G5" s="24">
        <f>+SUM(G6:G20)</f>
        <v>772483</v>
      </c>
      <c r="H5" s="45">
        <f>+G5/E5-1</f>
        <v>0.10103834833486558</v>
      </c>
      <c r="I5" s="24">
        <f>+SUM(I6:I20)</f>
        <v>744895</v>
      </c>
      <c r="J5" s="45">
        <f>+I5/G5-1</f>
        <v>-3.5713407285338339E-2</v>
      </c>
    </row>
    <row r="6" spans="1:10" x14ac:dyDescent="0.3">
      <c r="A6" s="47"/>
      <c r="B6" s="47" t="s">
        <v>38</v>
      </c>
      <c r="C6" s="48">
        <v>190981.66999999998</v>
      </c>
      <c r="D6" s="48">
        <v>254500</v>
      </c>
      <c r="E6" s="48">
        <v>275475</v>
      </c>
      <c r="F6" s="51">
        <f t="shared" ref="F6:F69" si="0">+E6/D6-1</f>
        <v>8.2416502946954795E-2</v>
      </c>
      <c r="G6" s="48">
        <v>287450</v>
      </c>
      <c r="H6" s="51">
        <f t="shared" ref="H6:H20" si="1">+G6/E6-1</f>
        <v>4.3470369362011096E-2</v>
      </c>
      <c r="I6" s="48">
        <v>289025</v>
      </c>
      <c r="J6" s="51">
        <f t="shared" ref="J6:J69" si="2">+I6/G6-1</f>
        <v>5.4792137763088888E-3</v>
      </c>
    </row>
    <row r="7" spans="1:10" x14ac:dyDescent="0.3">
      <c r="A7" s="47"/>
      <c r="B7" s="47" t="s">
        <v>39</v>
      </c>
      <c r="C7" s="50">
        <v>0</v>
      </c>
      <c r="D7" s="50">
        <v>2000</v>
      </c>
      <c r="E7" s="50">
        <v>2100</v>
      </c>
      <c r="F7" s="51">
        <f t="shared" si="0"/>
        <v>5.0000000000000044E-2</v>
      </c>
      <c r="G7" s="50">
        <v>2163</v>
      </c>
      <c r="H7" s="51">
        <f t="shared" si="1"/>
        <v>3.0000000000000027E-2</v>
      </c>
      <c r="I7" s="50">
        <v>2200</v>
      </c>
      <c r="J7" s="51">
        <f t="shared" si="2"/>
        <v>1.710587147480358E-2</v>
      </c>
    </row>
    <row r="8" spans="1:10" x14ac:dyDescent="0.3">
      <c r="A8" s="47"/>
      <c r="B8" s="47" t="s">
        <v>230</v>
      </c>
      <c r="C8" s="50">
        <v>0</v>
      </c>
      <c r="D8" s="50">
        <v>53000</v>
      </c>
      <c r="E8" s="50">
        <v>0</v>
      </c>
      <c r="F8" s="51">
        <f t="shared" si="0"/>
        <v>-1</v>
      </c>
      <c r="G8" s="50">
        <v>0</v>
      </c>
      <c r="H8" s="51"/>
      <c r="I8" s="50">
        <v>0</v>
      </c>
      <c r="J8" s="51"/>
    </row>
    <row r="9" spans="1:10" x14ac:dyDescent="0.3">
      <c r="A9" s="47"/>
      <c r="B9" s="47" t="s">
        <v>40</v>
      </c>
      <c r="C9" s="50">
        <v>26205.07</v>
      </c>
      <c r="D9" s="50">
        <v>50000</v>
      </c>
      <c r="E9" s="50">
        <v>60000</v>
      </c>
      <c r="F9" s="51">
        <f t="shared" si="0"/>
        <v>0.19999999999999996</v>
      </c>
      <c r="G9" s="50">
        <v>65000</v>
      </c>
      <c r="H9" s="51">
        <f t="shared" si="1"/>
        <v>8.3333333333333259E-2</v>
      </c>
      <c r="I9" s="50">
        <v>65000</v>
      </c>
      <c r="J9" s="51">
        <f t="shared" si="2"/>
        <v>0</v>
      </c>
    </row>
    <row r="10" spans="1:10" x14ac:dyDescent="0.3">
      <c r="A10" s="47"/>
      <c r="B10" s="59" t="s">
        <v>41</v>
      </c>
      <c r="C10" s="50">
        <v>0</v>
      </c>
      <c r="D10" s="50">
        <v>62200</v>
      </c>
      <c r="E10" s="50">
        <v>62200</v>
      </c>
      <c r="F10" s="51">
        <f t="shared" si="0"/>
        <v>0</v>
      </c>
      <c r="G10" s="61">
        <v>62200</v>
      </c>
      <c r="H10" s="51">
        <f t="shared" si="1"/>
        <v>0</v>
      </c>
      <c r="I10" s="61">
        <v>62200</v>
      </c>
      <c r="J10" s="51">
        <f t="shared" si="2"/>
        <v>0</v>
      </c>
    </row>
    <row r="11" spans="1:10" x14ac:dyDescent="0.3">
      <c r="A11" s="47"/>
      <c r="B11" s="47" t="s">
        <v>151</v>
      </c>
      <c r="C11" s="50">
        <v>4000</v>
      </c>
      <c r="D11" s="50">
        <v>6000</v>
      </c>
      <c r="E11" s="50">
        <v>10000</v>
      </c>
      <c r="F11" s="51">
        <f t="shared" si="0"/>
        <v>0.66666666666666674</v>
      </c>
      <c r="G11" s="61">
        <v>11000</v>
      </c>
      <c r="H11" s="51">
        <f t="shared" si="1"/>
        <v>0.10000000000000009</v>
      </c>
      <c r="I11" s="61">
        <v>11000</v>
      </c>
      <c r="J11" s="51">
        <f t="shared" si="2"/>
        <v>0</v>
      </c>
    </row>
    <row r="12" spans="1:10" x14ac:dyDescent="0.3">
      <c r="A12" s="47"/>
      <c r="B12" s="62" t="s">
        <v>42</v>
      </c>
      <c r="C12" s="61">
        <v>0</v>
      </c>
      <c r="D12" s="61">
        <v>3000</v>
      </c>
      <c r="E12" s="61">
        <v>3150</v>
      </c>
      <c r="F12" s="51">
        <f t="shared" si="0"/>
        <v>5.0000000000000044E-2</v>
      </c>
      <c r="G12" s="61">
        <v>5000</v>
      </c>
      <c r="H12" s="51">
        <f t="shared" si="1"/>
        <v>0.58730158730158721</v>
      </c>
      <c r="I12" s="61">
        <v>5000</v>
      </c>
      <c r="J12" s="51">
        <f t="shared" si="2"/>
        <v>0</v>
      </c>
    </row>
    <row r="13" spans="1:10" x14ac:dyDescent="0.3">
      <c r="A13" s="47"/>
      <c r="B13" s="62" t="s">
        <v>153</v>
      </c>
      <c r="C13" s="61">
        <v>764.8</v>
      </c>
      <c r="D13" s="61">
        <v>26000</v>
      </c>
      <c r="E13" s="61">
        <v>0</v>
      </c>
      <c r="F13" s="51">
        <f t="shared" si="0"/>
        <v>-1</v>
      </c>
      <c r="G13" s="61">
        <v>0</v>
      </c>
      <c r="H13" s="51"/>
      <c r="I13" s="61">
        <v>0</v>
      </c>
      <c r="J13" s="51"/>
    </row>
    <row r="14" spans="1:10" x14ac:dyDescent="0.3">
      <c r="A14" s="47"/>
      <c r="B14" s="62" t="s">
        <v>231</v>
      </c>
      <c r="C14" s="61">
        <v>0</v>
      </c>
      <c r="D14" s="61">
        <v>140000</v>
      </c>
      <c r="E14" s="61">
        <v>0</v>
      </c>
      <c r="F14" s="51">
        <f t="shared" si="0"/>
        <v>-1</v>
      </c>
      <c r="G14" s="61">
        <v>0</v>
      </c>
      <c r="H14" s="51"/>
      <c r="I14" s="61">
        <v>0</v>
      </c>
      <c r="J14" s="51"/>
    </row>
    <row r="15" spans="1:10" x14ac:dyDescent="0.3">
      <c r="A15" s="47"/>
      <c r="B15" s="62" t="s">
        <v>43</v>
      </c>
      <c r="C15" s="61">
        <v>131200.25</v>
      </c>
      <c r="D15" s="61">
        <v>150000</v>
      </c>
      <c r="E15" s="61">
        <v>150000</v>
      </c>
      <c r="F15" s="51">
        <f t="shared" si="0"/>
        <v>0</v>
      </c>
      <c r="G15" s="61">
        <v>201000</v>
      </c>
      <c r="H15" s="51">
        <f t="shared" si="1"/>
        <v>0.34000000000000008</v>
      </c>
      <c r="I15" s="61">
        <v>165000.00000000003</v>
      </c>
      <c r="J15" s="51">
        <f t="shared" si="2"/>
        <v>-0.17910447761194015</v>
      </c>
    </row>
    <row r="16" spans="1:10" x14ac:dyDescent="0.3">
      <c r="A16" s="47"/>
      <c r="B16" s="62" t="s">
        <v>44</v>
      </c>
      <c r="C16" s="50">
        <v>0</v>
      </c>
      <c r="D16" s="50">
        <v>2700</v>
      </c>
      <c r="E16" s="50">
        <v>2835</v>
      </c>
      <c r="F16" s="51">
        <f t="shared" si="0"/>
        <v>5.0000000000000044E-2</v>
      </c>
      <c r="G16" s="50">
        <v>2835</v>
      </c>
      <c r="H16" s="51">
        <f t="shared" si="1"/>
        <v>0</v>
      </c>
      <c r="I16" s="50">
        <v>2970</v>
      </c>
      <c r="J16" s="51">
        <f t="shared" si="2"/>
        <v>4.7619047619047672E-2</v>
      </c>
    </row>
    <row r="17" spans="1:10" x14ac:dyDescent="0.3">
      <c r="A17" s="47"/>
      <c r="B17" s="62" t="s">
        <v>45</v>
      </c>
      <c r="C17" s="50">
        <v>51000</v>
      </c>
      <c r="D17" s="50">
        <v>60000</v>
      </c>
      <c r="E17" s="50">
        <v>66000</v>
      </c>
      <c r="F17" s="51">
        <f t="shared" si="0"/>
        <v>0.10000000000000009</v>
      </c>
      <c r="G17" s="50">
        <v>66000</v>
      </c>
      <c r="H17" s="51">
        <f t="shared" si="1"/>
        <v>0</v>
      </c>
      <c r="I17" s="50">
        <v>69300</v>
      </c>
      <c r="J17" s="51">
        <f t="shared" si="2"/>
        <v>5.0000000000000044E-2</v>
      </c>
    </row>
    <row r="18" spans="1:10" x14ac:dyDescent="0.3">
      <c r="A18" s="47"/>
      <c r="B18" s="62" t="s">
        <v>46</v>
      </c>
      <c r="C18" s="50">
        <v>26.45</v>
      </c>
      <c r="D18" s="50">
        <v>1000</v>
      </c>
      <c r="E18" s="50">
        <v>2000</v>
      </c>
      <c r="F18" s="51">
        <f t="shared" si="0"/>
        <v>1</v>
      </c>
      <c r="G18" s="50">
        <v>2000</v>
      </c>
      <c r="H18" s="51">
        <f t="shared" si="1"/>
        <v>0</v>
      </c>
      <c r="I18" s="50">
        <v>2100</v>
      </c>
      <c r="J18" s="51">
        <f t="shared" si="2"/>
        <v>5.0000000000000044E-2</v>
      </c>
    </row>
    <row r="19" spans="1:10" x14ac:dyDescent="0.3">
      <c r="A19" s="47"/>
      <c r="B19" s="62" t="s">
        <v>152</v>
      </c>
      <c r="C19" s="50">
        <v>0</v>
      </c>
      <c r="D19" s="50">
        <v>1500</v>
      </c>
      <c r="E19" s="50">
        <v>2835</v>
      </c>
      <c r="F19" s="51">
        <f t="shared" si="0"/>
        <v>0.8899999999999999</v>
      </c>
      <c r="G19" s="50">
        <v>2835</v>
      </c>
      <c r="H19" s="51">
        <f t="shared" si="1"/>
        <v>0</v>
      </c>
      <c r="I19" s="50">
        <v>2900</v>
      </c>
      <c r="J19" s="51">
        <f t="shared" si="2"/>
        <v>2.2927689594356204E-2</v>
      </c>
    </row>
    <row r="20" spans="1:10" x14ac:dyDescent="0.3">
      <c r="A20" s="47"/>
      <c r="B20" s="62" t="s">
        <v>47</v>
      </c>
      <c r="C20" s="50">
        <v>9850</v>
      </c>
      <c r="D20" s="50">
        <v>62000</v>
      </c>
      <c r="E20" s="50">
        <v>65000</v>
      </c>
      <c r="F20" s="51">
        <f t="shared" si="0"/>
        <v>4.8387096774193505E-2</v>
      </c>
      <c r="G20" s="50">
        <v>65000</v>
      </c>
      <c r="H20" s="51">
        <f t="shared" si="1"/>
        <v>0</v>
      </c>
      <c r="I20" s="50">
        <v>68200</v>
      </c>
      <c r="J20" s="51">
        <f t="shared" si="2"/>
        <v>4.9230769230769189E-2</v>
      </c>
    </row>
    <row r="21" spans="1:10" x14ac:dyDescent="0.3">
      <c r="A21" s="42" t="s">
        <v>49</v>
      </c>
      <c r="B21" s="42"/>
      <c r="C21" s="24">
        <f>+SUM(C22:C33)</f>
        <v>56686.82</v>
      </c>
      <c r="D21" s="24">
        <f>+SUM(D22:D33)</f>
        <v>88400</v>
      </c>
      <c r="E21" s="24">
        <f>+SUM(E22:E33)</f>
        <v>97020</v>
      </c>
      <c r="F21" s="45">
        <f>+E21/D21-1</f>
        <v>9.7511312217194668E-2</v>
      </c>
      <c r="G21" s="24">
        <f>+SUM(G22:G33)</f>
        <v>97020</v>
      </c>
      <c r="H21" s="45">
        <f>+G21/E21-1</f>
        <v>0</v>
      </c>
      <c r="I21" s="24">
        <f>+SUM(I22:I33)</f>
        <v>97240</v>
      </c>
      <c r="J21" s="45">
        <f>+I21/G21-1</f>
        <v>2.2675736961450532E-3</v>
      </c>
    </row>
    <row r="22" spans="1:10" x14ac:dyDescent="0.3">
      <c r="A22" s="47"/>
      <c r="B22" s="59" t="s">
        <v>50</v>
      </c>
      <c r="C22" s="50">
        <v>32119.59</v>
      </c>
      <c r="D22" s="50">
        <v>50000</v>
      </c>
      <c r="E22" s="50">
        <v>52500</v>
      </c>
      <c r="F22" s="51">
        <f t="shared" si="0"/>
        <v>5.0000000000000044E-2</v>
      </c>
      <c r="G22" s="50">
        <v>52500</v>
      </c>
      <c r="H22" s="51">
        <f t="shared" ref="H22:H36" si="3">+G22/E22-1</f>
        <v>0</v>
      </c>
      <c r="I22" s="50">
        <v>55000</v>
      </c>
      <c r="J22" s="51">
        <f t="shared" si="2"/>
        <v>4.7619047619047672E-2</v>
      </c>
    </row>
    <row r="23" spans="1:10" x14ac:dyDescent="0.3">
      <c r="A23" s="47"/>
      <c r="B23" s="59" t="s">
        <v>51</v>
      </c>
      <c r="C23" s="50">
        <v>2640</v>
      </c>
      <c r="D23" s="50">
        <v>5000</v>
      </c>
      <c r="E23" s="50">
        <v>5200</v>
      </c>
      <c r="F23" s="51">
        <f t="shared" si="0"/>
        <v>4.0000000000000036E-2</v>
      </c>
      <c r="G23" s="50">
        <v>5200</v>
      </c>
      <c r="H23" s="51">
        <f t="shared" si="3"/>
        <v>0</v>
      </c>
      <c r="I23" s="50">
        <v>5500</v>
      </c>
      <c r="J23" s="51">
        <f t="shared" si="2"/>
        <v>5.7692307692307709E-2</v>
      </c>
    </row>
    <row r="24" spans="1:10" x14ac:dyDescent="0.3">
      <c r="A24" s="47"/>
      <c r="B24" s="59" t="s">
        <v>52</v>
      </c>
      <c r="C24" s="50">
        <v>1327.23</v>
      </c>
      <c r="D24" s="50">
        <v>2000</v>
      </c>
      <c r="E24" s="50">
        <v>2100</v>
      </c>
      <c r="F24" s="51">
        <f t="shared" si="0"/>
        <v>5.0000000000000044E-2</v>
      </c>
      <c r="G24" s="50">
        <v>2100</v>
      </c>
      <c r="H24" s="51">
        <f t="shared" si="3"/>
        <v>0</v>
      </c>
      <c r="I24" s="50">
        <v>2200</v>
      </c>
      <c r="J24" s="51">
        <f t="shared" si="2"/>
        <v>4.7619047619047672E-2</v>
      </c>
    </row>
    <row r="25" spans="1:10" x14ac:dyDescent="0.3">
      <c r="A25" s="47"/>
      <c r="B25" s="59" t="s">
        <v>53</v>
      </c>
      <c r="C25" s="50">
        <v>0</v>
      </c>
      <c r="D25" s="50">
        <v>2000</v>
      </c>
      <c r="E25" s="50">
        <v>2100</v>
      </c>
      <c r="F25" s="51">
        <f t="shared" si="0"/>
        <v>5.0000000000000044E-2</v>
      </c>
      <c r="G25" s="50">
        <v>2100</v>
      </c>
      <c r="H25" s="51">
        <f t="shared" si="3"/>
        <v>0</v>
      </c>
      <c r="I25" s="50">
        <v>2200</v>
      </c>
      <c r="J25" s="51">
        <f t="shared" si="2"/>
        <v>4.7619047619047672E-2</v>
      </c>
    </row>
    <row r="26" spans="1:10" x14ac:dyDescent="0.3">
      <c r="A26" s="47"/>
      <c r="B26" s="59" t="s">
        <v>54</v>
      </c>
      <c r="C26" s="50">
        <v>5350</v>
      </c>
      <c r="D26" s="50">
        <v>5000</v>
      </c>
      <c r="E26" s="50">
        <v>5250</v>
      </c>
      <c r="F26" s="51">
        <f t="shared" si="0"/>
        <v>5.0000000000000044E-2</v>
      </c>
      <c r="G26" s="50">
        <v>5250</v>
      </c>
      <c r="H26" s="51">
        <f t="shared" si="3"/>
        <v>0</v>
      </c>
      <c r="I26" s="50">
        <v>5500</v>
      </c>
      <c r="J26" s="51">
        <f t="shared" si="2"/>
        <v>4.7619047619047672E-2</v>
      </c>
    </row>
    <row r="27" spans="1:10" x14ac:dyDescent="0.3">
      <c r="A27" s="47"/>
      <c r="B27" s="59" t="s">
        <v>55</v>
      </c>
      <c r="C27" s="50">
        <v>0</v>
      </c>
      <c r="D27" s="50">
        <v>700</v>
      </c>
      <c r="E27" s="50">
        <v>735</v>
      </c>
      <c r="F27" s="51">
        <f t="shared" si="0"/>
        <v>5.0000000000000044E-2</v>
      </c>
      <c r="G27" s="50">
        <v>735</v>
      </c>
      <c r="H27" s="51">
        <f t="shared" si="3"/>
        <v>0</v>
      </c>
      <c r="I27" s="50">
        <v>770</v>
      </c>
      <c r="J27" s="51">
        <f t="shared" si="2"/>
        <v>4.7619047619047672E-2</v>
      </c>
    </row>
    <row r="28" spans="1:10" x14ac:dyDescent="0.3">
      <c r="A28" s="47"/>
      <c r="B28" s="59" t="s">
        <v>56</v>
      </c>
      <c r="C28" s="50">
        <v>0</v>
      </c>
      <c r="D28" s="50">
        <v>700</v>
      </c>
      <c r="E28" s="50">
        <v>735</v>
      </c>
      <c r="F28" s="51">
        <f t="shared" si="0"/>
        <v>5.0000000000000044E-2</v>
      </c>
      <c r="G28" s="50">
        <v>735</v>
      </c>
      <c r="H28" s="51">
        <f t="shared" si="3"/>
        <v>0</v>
      </c>
      <c r="I28" s="50">
        <v>770</v>
      </c>
      <c r="J28" s="51">
        <f t="shared" si="2"/>
        <v>4.7619047619047672E-2</v>
      </c>
    </row>
    <row r="29" spans="1:10" x14ac:dyDescent="0.3">
      <c r="A29" s="47"/>
      <c r="B29" s="59" t="s">
        <v>57</v>
      </c>
      <c r="C29" s="50">
        <v>0</v>
      </c>
      <c r="D29" s="50">
        <v>2000</v>
      </c>
      <c r="E29" s="50">
        <v>2100</v>
      </c>
      <c r="F29" s="51">
        <f t="shared" si="0"/>
        <v>5.0000000000000044E-2</v>
      </c>
      <c r="G29" s="50">
        <v>2100</v>
      </c>
      <c r="H29" s="51">
        <f t="shared" si="3"/>
        <v>0</v>
      </c>
      <c r="I29" s="50">
        <v>2200</v>
      </c>
      <c r="J29" s="51">
        <f t="shared" si="2"/>
        <v>4.7619047619047672E-2</v>
      </c>
    </row>
    <row r="30" spans="1:10" x14ac:dyDescent="0.3">
      <c r="A30" s="47"/>
      <c r="B30" s="59" t="s">
        <v>232</v>
      </c>
      <c r="C30" s="50">
        <v>0</v>
      </c>
      <c r="D30" s="50">
        <v>2000</v>
      </c>
      <c r="E30" s="50">
        <v>2100</v>
      </c>
      <c r="F30" s="51">
        <f t="shared" si="0"/>
        <v>5.0000000000000044E-2</v>
      </c>
      <c r="G30" s="50">
        <v>2100</v>
      </c>
      <c r="H30" s="51">
        <f t="shared" si="3"/>
        <v>0</v>
      </c>
      <c r="I30" s="50">
        <v>2200</v>
      </c>
      <c r="J30" s="51">
        <f t="shared" si="2"/>
        <v>4.7619047619047672E-2</v>
      </c>
    </row>
    <row r="31" spans="1:10" x14ac:dyDescent="0.3">
      <c r="A31" s="68"/>
      <c r="B31" s="69" t="s">
        <v>58</v>
      </c>
      <c r="C31" s="50">
        <v>0</v>
      </c>
      <c r="D31" s="50">
        <v>2000</v>
      </c>
      <c r="E31" s="50">
        <v>2100</v>
      </c>
      <c r="F31" s="51">
        <f t="shared" si="0"/>
        <v>5.0000000000000044E-2</v>
      </c>
      <c r="G31" s="50">
        <v>2100</v>
      </c>
      <c r="H31" s="51">
        <f t="shared" si="3"/>
        <v>0</v>
      </c>
      <c r="I31" s="50">
        <v>2200</v>
      </c>
      <c r="J31" s="51">
        <f t="shared" si="2"/>
        <v>4.7619047619047672E-2</v>
      </c>
    </row>
    <row r="32" spans="1:10" x14ac:dyDescent="0.3">
      <c r="A32" s="68"/>
      <c r="B32" s="69" t="s">
        <v>235</v>
      </c>
      <c r="C32" s="50">
        <v>15250</v>
      </c>
      <c r="D32" s="50">
        <v>15000</v>
      </c>
      <c r="E32" s="50">
        <v>20000</v>
      </c>
      <c r="F32" s="51">
        <f t="shared" si="0"/>
        <v>0.33333333333333326</v>
      </c>
      <c r="G32" s="50">
        <v>20000</v>
      </c>
      <c r="H32" s="51">
        <f t="shared" si="3"/>
        <v>0</v>
      </c>
      <c r="I32" s="50">
        <v>16500</v>
      </c>
      <c r="J32" s="51">
        <f t="shared" si="2"/>
        <v>-0.17500000000000004</v>
      </c>
    </row>
    <row r="33" spans="1:10" x14ac:dyDescent="0.3">
      <c r="A33" s="68"/>
      <c r="B33" s="69" t="s">
        <v>59</v>
      </c>
      <c r="C33" s="50">
        <v>0</v>
      </c>
      <c r="D33" s="50">
        <v>2000</v>
      </c>
      <c r="E33" s="50">
        <v>2100</v>
      </c>
      <c r="F33" s="51">
        <f t="shared" si="0"/>
        <v>5.0000000000000044E-2</v>
      </c>
      <c r="G33" s="50">
        <v>2100</v>
      </c>
      <c r="H33" s="51">
        <f t="shared" si="3"/>
        <v>0</v>
      </c>
      <c r="I33" s="50">
        <v>2200</v>
      </c>
      <c r="J33" s="51">
        <f t="shared" si="2"/>
        <v>4.7619047619047672E-2</v>
      </c>
    </row>
    <row r="34" spans="1:10" x14ac:dyDescent="0.3">
      <c r="A34" s="42" t="s">
        <v>60</v>
      </c>
      <c r="B34" s="42"/>
      <c r="C34" s="24">
        <f>+C35+C36</f>
        <v>178767.47999999998</v>
      </c>
      <c r="D34" s="24">
        <f>+D35+D36</f>
        <v>355500</v>
      </c>
      <c r="E34" s="24">
        <f>+E35+E36</f>
        <v>357275</v>
      </c>
      <c r="F34" s="45">
        <f>+E34/D34-1</f>
        <v>4.9929676511955012E-3</v>
      </c>
      <c r="G34" s="24">
        <f>+G35+G36</f>
        <v>357275</v>
      </c>
      <c r="H34" s="45">
        <f>+G34/E34-1</f>
        <v>0</v>
      </c>
      <c r="I34" s="24">
        <f>+I35+I36</f>
        <v>199050</v>
      </c>
      <c r="J34" s="45">
        <f>+I34/G34-1</f>
        <v>-0.4428661395283745</v>
      </c>
    </row>
    <row r="35" spans="1:10" x14ac:dyDescent="0.3">
      <c r="A35" s="47"/>
      <c r="B35" s="47" t="s">
        <v>61</v>
      </c>
      <c r="C35" s="50">
        <v>159544.07999999999</v>
      </c>
      <c r="D35" s="50">
        <v>320000</v>
      </c>
      <c r="E35" s="50">
        <v>320000</v>
      </c>
      <c r="F35" s="51">
        <f t="shared" si="0"/>
        <v>0</v>
      </c>
      <c r="G35" s="50">
        <v>320000</v>
      </c>
      <c r="H35" s="51">
        <f t="shared" si="3"/>
        <v>0</v>
      </c>
      <c r="I35" s="50">
        <v>160000</v>
      </c>
      <c r="J35" s="51">
        <f t="shared" si="2"/>
        <v>-0.5</v>
      </c>
    </row>
    <row r="36" spans="1:10" x14ac:dyDescent="0.3">
      <c r="A36" s="47"/>
      <c r="B36" s="47" t="s">
        <v>62</v>
      </c>
      <c r="C36" s="50">
        <v>19223.400000000001</v>
      </c>
      <c r="D36" s="50">
        <v>35500</v>
      </c>
      <c r="E36" s="50">
        <v>37275</v>
      </c>
      <c r="F36" s="51">
        <f t="shared" si="0"/>
        <v>5.0000000000000044E-2</v>
      </c>
      <c r="G36" s="50">
        <v>37275</v>
      </c>
      <c r="H36" s="51">
        <f t="shared" si="3"/>
        <v>0</v>
      </c>
      <c r="I36" s="50">
        <v>39050</v>
      </c>
      <c r="J36" s="51">
        <f t="shared" si="2"/>
        <v>4.7619047619047672E-2</v>
      </c>
    </row>
    <row r="37" spans="1:10" x14ac:dyDescent="0.3">
      <c r="A37" s="42" t="s">
        <v>64</v>
      </c>
      <c r="B37" s="42"/>
      <c r="C37" s="24">
        <f>+SUM(C38:C44)</f>
        <v>527520.42000000004</v>
      </c>
      <c r="D37" s="24">
        <f>+SUM(D38:D44)</f>
        <v>438000</v>
      </c>
      <c r="E37" s="24">
        <f>+SUM(E38:E44)</f>
        <v>222900</v>
      </c>
      <c r="F37" s="45">
        <f>+E37/D37-1</f>
        <v>-0.49109589041095891</v>
      </c>
      <c r="G37" s="24">
        <f>+SUM(G38:G44)</f>
        <v>222900</v>
      </c>
      <c r="H37" s="45">
        <f>+G37/E37-1</f>
        <v>0</v>
      </c>
      <c r="I37" s="24">
        <f>+SUM(I38:I44)</f>
        <v>577800</v>
      </c>
      <c r="J37" s="45">
        <f>+I37/G37-1</f>
        <v>1.5921938088829073</v>
      </c>
    </row>
    <row r="38" spans="1:10" x14ac:dyDescent="0.3">
      <c r="A38" s="47"/>
      <c r="B38" s="59" t="s">
        <v>65</v>
      </c>
      <c r="C38" s="71">
        <v>7000</v>
      </c>
      <c r="D38" s="71">
        <v>13000</v>
      </c>
      <c r="E38" s="71">
        <v>13650</v>
      </c>
      <c r="F38" s="51">
        <f t="shared" si="0"/>
        <v>5.0000000000000044E-2</v>
      </c>
      <c r="G38" s="71">
        <v>13650</v>
      </c>
      <c r="H38" s="51">
        <f t="shared" ref="H38:J101" si="4">+G38/E38-1</f>
        <v>0</v>
      </c>
      <c r="I38" s="71">
        <v>14300</v>
      </c>
      <c r="J38" s="51">
        <f t="shared" si="2"/>
        <v>4.7619047619047672E-2</v>
      </c>
    </row>
    <row r="39" spans="1:10" x14ac:dyDescent="0.3">
      <c r="A39" s="47"/>
      <c r="B39" s="59" t="s">
        <v>66</v>
      </c>
      <c r="C39" s="71">
        <v>1114.33</v>
      </c>
      <c r="D39" s="71">
        <v>13000</v>
      </c>
      <c r="E39" s="71">
        <v>13650</v>
      </c>
      <c r="F39" s="51">
        <f t="shared" si="0"/>
        <v>5.0000000000000044E-2</v>
      </c>
      <c r="G39" s="71">
        <v>13650</v>
      </c>
      <c r="H39" s="51">
        <f t="shared" si="4"/>
        <v>0</v>
      </c>
      <c r="I39" s="71">
        <v>14300</v>
      </c>
      <c r="J39" s="51">
        <f t="shared" si="2"/>
        <v>4.7619047619047672E-2</v>
      </c>
    </row>
    <row r="40" spans="1:10" x14ac:dyDescent="0.3">
      <c r="A40" s="47"/>
      <c r="B40" s="59" t="s">
        <v>150</v>
      </c>
      <c r="C40" s="71">
        <v>0</v>
      </c>
      <c r="D40" s="71">
        <v>2000</v>
      </c>
      <c r="E40" s="71">
        <v>2100</v>
      </c>
      <c r="F40" s="51">
        <f t="shared" si="0"/>
        <v>5.0000000000000044E-2</v>
      </c>
      <c r="G40" s="71">
        <v>2100</v>
      </c>
      <c r="H40" s="51">
        <f t="shared" si="4"/>
        <v>0</v>
      </c>
      <c r="I40" s="71">
        <v>2200</v>
      </c>
      <c r="J40" s="51">
        <f t="shared" si="2"/>
        <v>4.7619047619047672E-2</v>
      </c>
    </row>
    <row r="41" spans="1:10" x14ac:dyDescent="0.3">
      <c r="A41" s="47"/>
      <c r="B41" s="59" t="s">
        <v>68</v>
      </c>
      <c r="C41" s="71">
        <v>471029.04</v>
      </c>
      <c r="D41" s="71">
        <v>300000</v>
      </c>
      <c r="E41" s="71">
        <v>100000</v>
      </c>
      <c r="F41" s="51">
        <f t="shared" si="0"/>
        <v>-0.66666666666666674</v>
      </c>
      <c r="G41" s="71">
        <v>100000</v>
      </c>
      <c r="H41" s="51">
        <f t="shared" si="4"/>
        <v>0</v>
      </c>
      <c r="I41" s="71">
        <v>450000</v>
      </c>
      <c r="J41" s="51">
        <f t="shared" si="2"/>
        <v>3.5</v>
      </c>
    </row>
    <row r="42" spans="1:10" x14ac:dyDescent="0.3">
      <c r="A42" s="47"/>
      <c r="B42" s="59" t="s">
        <v>155</v>
      </c>
      <c r="C42" s="71">
        <v>0</v>
      </c>
      <c r="D42" s="71">
        <v>10000</v>
      </c>
      <c r="E42" s="71">
        <v>0</v>
      </c>
      <c r="F42" s="51">
        <f t="shared" si="0"/>
        <v>-1</v>
      </c>
      <c r="G42" s="71">
        <v>0</v>
      </c>
      <c r="H42" s="51"/>
      <c r="I42" s="71">
        <v>0</v>
      </c>
      <c r="J42" s="51"/>
    </row>
    <row r="43" spans="1:10" x14ac:dyDescent="0.3">
      <c r="A43" s="47"/>
      <c r="B43" s="59" t="s">
        <v>154</v>
      </c>
      <c r="C43" s="71">
        <v>0</v>
      </c>
      <c r="D43" s="71">
        <v>30000</v>
      </c>
      <c r="E43" s="71">
        <v>20000</v>
      </c>
      <c r="F43" s="51">
        <f t="shared" si="0"/>
        <v>-0.33333333333333337</v>
      </c>
      <c r="G43" s="71">
        <v>20000</v>
      </c>
      <c r="H43" s="51">
        <f t="shared" si="4"/>
        <v>0</v>
      </c>
      <c r="I43" s="71">
        <v>20000</v>
      </c>
      <c r="J43" s="51">
        <f t="shared" si="2"/>
        <v>0</v>
      </c>
    </row>
    <row r="44" spans="1:10" x14ac:dyDescent="0.3">
      <c r="A44" s="47"/>
      <c r="B44" s="59" t="s">
        <v>69</v>
      </c>
      <c r="C44" s="50">
        <v>48377.05</v>
      </c>
      <c r="D44" s="50">
        <v>70000</v>
      </c>
      <c r="E44" s="50">
        <v>73500</v>
      </c>
      <c r="F44" s="51">
        <f t="shared" si="0"/>
        <v>5.0000000000000044E-2</v>
      </c>
      <c r="G44" s="50">
        <v>73500</v>
      </c>
      <c r="H44" s="51">
        <f t="shared" si="4"/>
        <v>0</v>
      </c>
      <c r="I44" s="50">
        <v>77000</v>
      </c>
      <c r="J44" s="51">
        <f t="shared" si="2"/>
        <v>4.7619047619047672E-2</v>
      </c>
    </row>
    <row r="45" spans="1:10" x14ac:dyDescent="0.3">
      <c r="A45" s="73" t="s">
        <v>70</v>
      </c>
      <c r="B45" s="42"/>
      <c r="C45" s="24">
        <f>+SUM(C46:C49)</f>
        <v>26008.589999999997</v>
      </c>
      <c r="D45" s="24">
        <f>+SUM(D46:D49)</f>
        <v>215000</v>
      </c>
      <c r="E45" s="24">
        <f>+SUM(E46:E49)</f>
        <v>230000</v>
      </c>
      <c r="F45" s="45">
        <f>+E45/D45-1</f>
        <v>6.9767441860465018E-2</v>
      </c>
      <c r="G45" s="24">
        <f>+SUM(G46:G49)</f>
        <v>230000</v>
      </c>
      <c r="H45" s="45">
        <f>+G45/E45-1</f>
        <v>0</v>
      </c>
      <c r="I45" s="24">
        <f>+SUM(I46:I49)</f>
        <v>236500</v>
      </c>
      <c r="J45" s="45">
        <f>+I45/G45-1</f>
        <v>2.8260869565217339E-2</v>
      </c>
    </row>
    <row r="46" spans="1:10" x14ac:dyDescent="0.3">
      <c r="A46" s="47"/>
      <c r="B46" s="59" t="s">
        <v>71</v>
      </c>
      <c r="C46" s="50">
        <v>14421.089999999995</v>
      </c>
      <c r="D46" s="50">
        <v>150000</v>
      </c>
      <c r="E46" s="50">
        <v>157500</v>
      </c>
      <c r="F46" s="51">
        <f t="shared" si="0"/>
        <v>5.0000000000000044E-2</v>
      </c>
      <c r="G46" s="50">
        <v>157500</v>
      </c>
      <c r="H46" s="51">
        <f t="shared" si="4"/>
        <v>0</v>
      </c>
      <c r="I46" s="50">
        <v>165000</v>
      </c>
      <c r="J46" s="51">
        <f t="shared" si="2"/>
        <v>4.7619047619047672E-2</v>
      </c>
    </row>
    <row r="47" spans="1:10" x14ac:dyDescent="0.3">
      <c r="A47" s="47"/>
      <c r="B47" s="59" t="s">
        <v>72</v>
      </c>
      <c r="C47" s="50">
        <v>0</v>
      </c>
      <c r="D47" s="50">
        <v>20000</v>
      </c>
      <c r="E47" s="50">
        <v>21000</v>
      </c>
      <c r="F47" s="51">
        <f t="shared" si="0"/>
        <v>5.0000000000000044E-2</v>
      </c>
      <c r="G47" s="50">
        <v>21000</v>
      </c>
      <c r="H47" s="51">
        <f t="shared" si="4"/>
        <v>0</v>
      </c>
      <c r="I47" s="50">
        <v>22000</v>
      </c>
      <c r="J47" s="51">
        <f t="shared" si="2"/>
        <v>4.7619047619047672E-2</v>
      </c>
    </row>
    <row r="48" spans="1:10" x14ac:dyDescent="0.3">
      <c r="A48" s="47"/>
      <c r="B48" s="59" t="s">
        <v>156</v>
      </c>
      <c r="C48" s="50">
        <v>0</v>
      </c>
      <c r="D48" s="50">
        <v>30000</v>
      </c>
      <c r="E48" s="50">
        <v>31500</v>
      </c>
      <c r="F48" s="51">
        <f t="shared" si="0"/>
        <v>5.0000000000000044E-2</v>
      </c>
      <c r="G48" s="50">
        <v>31500</v>
      </c>
      <c r="H48" s="51">
        <f t="shared" si="4"/>
        <v>0</v>
      </c>
      <c r="I48" s="50">
        <v>33000</v>
      </c>
      <c r="J48" s="51">
        <f t="shared" si="2"/>
        <v>4.7619047619047672E-2</v>
      </c>
    </row>
    <row r="49" spans="1:10" x14ac:dyDescent="0.3">
      <c r="A49" s="47"/>
      <c r="B49" s="59" t="s">
        <v>157</v>
      </c>
      <c r="C49" s="50">
        <v>11587.5</v>
      </c>
      <c r="D49" s="50">
        <v>15000</v>
      </c>
      <c r="E49" s="50">
        <v>20000</v>
      </c>
      <c r="F49" s="51">
        <f t="shared" si="0"/>
        <v>0.33333333333333326</v>
      </c>
      <c r="G49" s="50">
        <v>20000</v>
      </c>
      <c r="H49" s="51">
        <f t="shared" si="4"/>
        <v>0</v>
      </c>
      <c r="I49" s="50">
        <v>16500</v>
      </c>
      <c r="J49" s="51">
        <f t="shared" si="2"/>
        <v>-0.17500000000000004</v>
      </c>
    </row>
    <row r="50" spans="1:10" x14ac:dyDescent="0.3">
      <c r="A50" s="42" t="s">
        <v>73</v>
      </c>
      <c r="B50" s="42"/>
      <c r="C50" s="24">
        <f>+SUM(C51:C56)</f>
        <v>138136.65</v>
      </c>
      <c r="D50" s="24">
        <f>+SUM(D51:D56)</f>
        <v>309000</v>
      </c>
      <c r="E50" s="24">
        <f>+SUM(E51:E56)</f>
        <v>232350</v>
      </c>
      <c r="F50" s="45">
        <f>+E50/D50-1</f>
        <v>-0.24805825242718449</v>
      </c>
      <c r="G50" s="24">
        <f>+SUM(G51:G56)</f>
        <v>232350</v>
      </c>
      <c r="H50" s="45">
        <f>+G50/E50-1</f>
        <v>0</v>
      </c>
      <c r="I50" s="24">
        <f>+SUM(I51:I56)</f>
        <v>231700</v>
      </c>
      <c r="J50" s="45">
        <f>+I50/G50-1</f>
        <v>-2.7975037658704016E-3</v>
      </c>
    </row>
    <row r="51" spans="1:10" x14ac:dyDescent="0.3">
      <c r="A51" s="47"/>
      <c r="B51" s="59" t="s">
        <v>74</v>
      </c>
      <c r="C51" s="50">
        <v>121636.65</v>
      </c>
      <c r="D51" s="50">
        <v>140000</v>
      </c>
      <c r="E51" s="50">
        <v>100000</v>
      </c>
      <c r="F51" s="51">
        <f t="shared" si="0"/>
        <v>-0.2857142857142857</v>
      </c>
      <c r="G51" s="50">
        <v>100000</v>
      </c>
      <c r="H51" s="51">
        <f t="shared" si="4"/>
        <v>0</v>
      </c>
      <c r="I51" s="50">
        <v>99000</v>
      </c>
      <c r="J51" s="51">
        <f t="shared" si="2"/>
        <v>-1.0000000000000009E-2</v>
      </c>
    </row>
    <row r="52" spans="1:10" x14ac:dyDescent="0.3">
      <c r="A52" s="47"/>
      <c r="B52" s="59" t="s">
        <v>75</v>
      </c>
      <c r="C52" s="50">
        <v>0</v>
      </c>
      <c r="D52" s="50">
        <v>140000</v>
      </c>
      <c r="E52" s="50">
        <v>100000</v>
      </c>
      <c r="F52" s="51">
        <f t="shared" si="0"/>
        <v>-0.2857142857142857</v>
      </c>
      <c r="G52" s="50">
        <v>100000</v>
      </c>
      <c r="H52" s="51">
        <f t="shared" si="4"/>
        <v>0</v>
      </c>
      <c r="I52" s="50">
        <v>99000</v>
      </c>
      <c r="J52" s="51">
        <f t="shared" si="2"/>
        <v>-1.0000000000000009E-2</v>
      </c>
    </row>
    <row r="53" spans="1:10" x14ac:dyDescent="0.3">
      <c r="A53" s="47"/>
      <c r="B53" s="59" t="s">
        <v>76</v>
      </c>
      <c r="C53" s="50">
        <v>0</v>
      </c>
      <c r="D53" s="50">
        <v>10000</v>
      </c>
      <c r="E53" s="50">
        <v>10500</v>
      </c>
      <c r="F53" s="51">
        <f t="shared" si="0"/>
        <v>5.0000000000000044E-2</v>
      </c>
      <c r="G53" s="50">
        <v>10500</v>
      </c>
      <c r="H53" s="51">
        <f t="shared" si="4"/>
        <v>0</v>
      </c>
      <c r="I53" s="50">
        <v>11000</v>
      </c>
      <c r="J53" s="51">
        <f t="shared" si="2"/>
        <v>4.7619047619047672E-2</v>
      </c>
    </row>
    <row r="54" spans="1:10" x14ac:dyDescent="0.3">
      <c r="A54" s="47"/>
      <c r="B54" s="59" t="s">
        <v>77</v>
      </c>
      <c r="C54" s="50">
        <v>16500</v>
      </c>
      <c r="D54" s="50">
        <v>15000</v>
      </c>
      <c r="E54" s="50">
        <v>15750</v>
      </c>
      <c r="F54" s="51">
        <f t="shared" si="0"/>
        <v>5.0000000000000044E-2</v>
      </c>
      <c r="G54" s="50">
        <v>15750</v>
      </c>
      <c r="H54" s="51">
        <f t="shared" si="4"/>
        <v>0</v>
      </c>
      <c r="I54" s="50">
        <v>16500</v>
      </c>
      <c r="J54" s="51">
        <f t="shared" si="2"/>
        <v>4.7619047619047672E-2</v>
      </c>
    </row>
    <row r="55" spans="1:10" x14ac:dyDescent="0.3">
      <c r="A55" s="47"/>
      <c r="B55" s="59" t="s">
        <v>78</v>
      </c>
      <c r="C55" s="50">
        <v>0</v>
      </c>
      <c r="D55" s="50">
        <v>2000</v>
      </c>
      <c r="E55" s="50">
        <v>2100</v>
      </c>
      <c r="F55" s="51">
        <f t="shared" si="0"/>
        <v>5.0000000000000044E-2</v>
      </c>
      <c r="G55" s="50">
        <v>2100</v>
      </c>
      <c r="H55" s="51">
        <f t="shared" si="4"/>
        <v>0</v>
      </c>
      <c r="I55" s="50">
        <v>2200</v>
      </c>
      <c r="J55" s="51">
        <f t="shared" si="2"/>
        <v>4.7619047619047672E-2</v>
      </c>
    </row>
    <row r="56" spans="1:10" x14ac:dyDescent="0.3">
      <c r="A56" s="47"/>
      <c r="B56" s="59" t="s">
        <v>79</v>
      </c>
      <c r="C56" s="50">
        <v>0</v>
      </c>
      <c r="D56" s="50">
        <v>2000</v>
      </c>
      <c r="E56" s="50">
        <v>4000</v>
      </c>
      <c r="F56" s="51">
        <f t="shared" si="0"/>
        <v>1</v>
      </c>
      <c r="G56" s="50">
        <v>4000</v>
      </c>
      <c r="H56" s="51">
        <f t="shared" si="4"/>
        <v>0</v>
      </c>
      <c r="I56" s="50">
        <v>4000</v>
      </c>
      <c r="J56" s="51">
        <f t="shared" si="2"/>
        <v>0</v>
      </c>
    </row>
    <row r="57" spans="1:10" x14ac:dyDescent="0.3">
      <c r="A57" s="42" t="s">
        <v>80</v>
      </c>
      <c r="B57" s="42"/>
      <c r="C57" s="24">
        <f>+SUM(C58:C62)</f>
        <v>59915</v>
      </c>
      <c r="D57" s="24">
        <f>+SUM(D58:D62)</f>
        <v>341000</v>
      </c>
      <c r="E57" s="24">
        <f>+SUM(E58:E62)</f>
        <v>453050</v>
      </c>
      <c r="F57" s="45">
        <f>+E57/D57-1</f>
        <v>0.32859237536656893</v>
      </c>
      <c r="G57" s="24">
        <f>+SUM(G58:G62)</f>
        <v>498050</v>
      </c>
      <c r="H57" s="45">
        <f>+G57/E57-1</f>
        <v>9.9326785123054817E-2</v>
      </c>
      <c r="I57" s="24">
        <f>+SUM(I58:I62)</f>
        <v>375100</v>
      </c>
      <c r="J57" s="45">
        <f>+I57/G57-1</f>
        <v>-0.24686276478265234</v>
      </c>
    </row>
    <row r="58" spans="1:10" x14ac:dyDescent="0.3">
      <c r="A58" s="47"/>
      <c r="B58" s="59" t="s">
        <v>158</v>
      </c>
      <c r="C58" s="50">
        <v>59915</v>
      </c>
      <c r="D58" s="50">
        <v>70000</v>
      </c>
      <c r="E58" s="50">
        <v>73500</v>
      </c>
      <c r="F58" s="51">
        <f t="shared" si="0"/>
        <v>5.0000000000000044E-2</v>
      </c>
      <c r="G58" s="50">
        <v>73500</v>
      </c>
      <c r="H58" s="51">
        <f t="shared" si="4"/>
        <v>0</v>
      </c>
      <c r="I58" s="50">
        <v>77000</v>
      </c>
      <c r="J58" s="51">
        <f t="shared" si="2"/>
        <v>4.7619047619047672E-2</v>
      </c>
    </row>
    <row r="59" spans="1:10" x14ac:dyDescent="0.3">
      <c r="A59" s="47"/>
      <c r="B59" s="59" t="s">
        <v>159</v>
      </c>
      <c r="C59" s="50">
        <v>0</v>
      </c>
      <c r="D59" s="50">
        <v>80000</v>
      </c>
      <c r="E59" s="50">
        <v>84000</v>
      </c>
      <c r="F59" s="51">
        <f t="shared" si="0"/>
        <v>5.0000000000000044E-2</v>
      </c>
      <c r="G59" s="50">
        <v>84000</v>
      </c>
      <c r="H59" s="51">
        <f t="shared" si="4"/>
        <v>0</v>
      </c>
      <c r="I59" s="50">
        <v>88000</v>
      </c>
      <c r="J59" s="51">
        <f t="shared" si="2"/>
        <v>4.7619047619047672E-2</v>
      </c>
    </row>
    <row r="60" spans="1:10" x14ac:dyDescent="0.3">
      <c r="A60" s="47"/>
      <c r="B60" s="59" t="s">
        <v>237</v>
      </c>
      <c r="C60" s="50">
        <v>0</v>
      </c>
      <c r="D60" s="50">
        <v>100000</v>
      </c>
      <c r="E60" s="50">
        <v>200000</v>
      </c>
      <c r="F60" s="51">
        <f t="shared" si="0"/>
        <v>1</v>
      </c>
      <c r="G60" s="50">
        <v>245000</v>
      </c>
      <c r="H60" s="51">
        <f t="shared" si="4"/>
        <v>0.22500000000000009</v>
      </c>
      <c r="I60" s="50">
        <v>110000</v>
      </c>
      <c r="J60" s="51">
        <f t="shared" si="2"/>
        <v>-0.55102040816326525</v>
      </c>
    </row>
    <row r="61" spans="1:10" x14ac:dyDescent="0.3">
      <c r="A61" s="47"/>
      <c r="B61" s="59" t="s">
        <v>160</v>
      </c>
      <c r="C61" s="50">
        <v>0</v>
      </c>
      <c r="D61" s="50">
        <v>11000</v>
      </c>
      <c r="E61" s="50">
        <v>11550</v>
      </c>
      <c r="F61" s="51">
        <f t="shared" si="0"/>
        <v>5.0000000000000044E-2</v>
      </c>
      <c r="G61" s="50">
        <v>11550</v>
      </c>
      <c r="H61" s="51">
        <f t="shared" si="4"/>
        <v>0</v>
      </c>
      <c r="I61" s="50">
        <v>12100</v>
      </c>
      <c r="J61" s="51">
        <f t="shared" si="2"/>
        <v>4.7619047619047672E-2</v>
      </c>
    </row>
    <row r="62" spans="1:10" x14ac:dyDescent="0.3">
      <c r="A62" s="47"/>
      <c r="B62" s="59" t="s">
        <v>148</v>
      </c>
      <c r="C62" s="50">
        <v>0</v>
      </c>
      <c r="D62" s="50">
        <v>80000</v>
      </c>
      <c r="E62" s="50">
        <v>84000</v>
      </c>
      <c r="F62" s="51">
        <f t="shared" si="0"/>
        <v>5.0000000000000044E-2</v>
      </c>
      <c r="G62" s="50">
        <v>84000</v>
      </c>
      <c r="H62" s="51">
        <f t="shared" si="4"/>
        <v>0</v>
      </c>
      <c r="I62" s="50">
        <v>88000</v>
      </c>
      <c r="J62" s="51">
        <f t="shared" si="2"/>
        <v>4.7619047619047672E-2</v>
      </c>
    </row>
    <row r="63" spans="1:10" x14ac:dyDescent="0.3">
      <c r="A63" s="42" t="s">
        <v>81</v>
      </c>
      <c r="B63" s="42"/>
      <c r="C63" s="24">
        <f>+SUM(C64:C67)</f>
        <v>26847.5</v>
      </c>
      <c r="D63" s="24">
        <f>+SUM(D64:D67)</f>
        <v>145000</v>
      </c>
      <c r="E63" s="24">
        <f>+SUM(E64:E67)</f>
        <v>297250</v>
      </c>
      <c r="F63" s="45">
        <f>+E63/D63-1</f>
        <v>1.0499999999999998</v>
      </c>
      <c r="G63" s="24">
        <f>+SUM(G64:G67)</f>
        <v>347250</v>
      </c>
      <c r="H63" s="45">
        <f>+G63/E63-1</f>
        <v>0.16820857863751049</v>
      </c>
      <c r="I63" s="24">
        <f>+SUM(I64:I67)</f>
        <v>159500</v>
      </c>
      <c r="J63" s="45">
        <f>+I63/G63-1</f>
        <v>-0.54067674586033121</v>
      </c>
    </row>
    <row r="64" spans="1:10" x14ac:dyDescent="0.3">
      <c r="A64" s="47"/>
      <c r="B64" s="59" t="s">
        <v>161</v>
      </c>
      <c r="C64" s="50">
        <v>10187.5</v>
      </c>
      <c r="D64" s="50">
        <v>15000</v>
      </c>
      <c r="E64" s="50">
        <v>15750</v>
      </c>
      <c r="F64" s="51">
        <f t="shared" si="0"/>
        <v>5.0000000000000044E-2</v>
      </c>
      <c r="G64" s="50">
        <v>15750</v>
      </c>
      <c r="H64" s="51">
        <f t="shared" si="4"/>
        <v>0</v>
      </c>
      <c r="I64" s="50">
        <v>16500</v>
      </c>
      <c r="J64" s="51">
        <f t="shared" si="2"/>
        <v>4.7619047619047672E-2</v>
      </c>
    </row>
    <row r="65" spans="1:10" x14ac:dyDescent="0.3">
      <c r="A65" s="47"/>
      <c r="B65" s="59" t="s">
        <v>147</v>
      </c>
      <c r="C65" s="50">
        <v>12160</v>
      </c>
      <c r="D65" s="50">
        <v>100000</v>
      </c>
      <c r="E65" s="50">
        <v>250000</v>
      </c>
      <c r="F65" s="51">
        <f t="shared" si="0"/>
        <v>1.5</v>
      </c>
      <c r="G65" s="50">
        <v>300000</v>
      </c>
      <c r="H65" s="51">
        <f t="shared" si="4"/>
        <v>0.19999999999999996</v>
      </c>
      <c r="I65" s="50">
        <v>110000</v>
      </c>
      <c r="J65" s="51">
        <f t="shared" si="2"/>
        <v>-0.6333333333333333</v>
      </c>
    </row>
    <row r="66" spans="1:10" x14ac:dyDescent="0.3">
      <c r="A66" s="47"/>
      <c r="B66" s="59" t="s">
        <v>82</v>
      </c>
      <c r="C66" s="50">
        <v>0</v>
      </c>
      <c r="D66" s="50">
        <v>20000</v>
      </c>
      <c r="E66" s="50">
        <v>21000</v>
      </c>
      <c r="F66" s="51">
        <f t="shared" si="0"/>
        <v>5.0000000000000044E-2</v>
      </c>
      <c r="G66" s="50">
        <v>21000</v>
      </c>
      <c r="H66" s="51">
        <f t="shared" si="4"/>
        <v>0</v>
      </c>
      <c r="I66" s="50">
        <v>22000</v>
      </c>
      <c r="J66" s="51">
        <f t="shared" si="2"/>
        <v>4.7619047619047672E-2</v>
      </c>
    </row>
    <row r="67" spans="1:10" x14ac:dyDescent="0.3">
      <c r="A67" s="47"/>
      <c r="B67" s="59" t="s">
        <v>83</v>
      </c>
      <c r="C67" s="50">
        <v>4500</v>
      </c>
      <c r="D67" s="50">
        <v>10000</v>
      </c>
      <c r="E67" s="50">
        <v>10500</v>
      </c>
      <c r="F67" s="51">
        <f t="shared" si="0"/>
        <v>5.0000000000000044E-2</v>
      </c>
      <c r="G67" s="50">
        <v>10500</v>
      </c>
      <c r="H67" s="51">
        <f t="shared" si="4"/>
        <v>0</v>
      </c>
      <c r="I67" s="50">
        <v>11000</v>
      </c>
      <c r="J67" s="51">
        <f t="shared" si="2"/>
        <v>4.7619047619047672E-2</v>
      </c>
    </row>
    <row r="68" spans="1:10" x14ac:dyDescent="0.3">
      <c r="A68" s="73" t="s">
        <v>85</v>
      </c>
      <c r="B68" s="42"/>
      <c r="C68" s="24">
        <f>+SUM(C69:C72)</f>
        <v>69742.510000000009</v>
      </c>
      <c r="D68" s="24">
        <f>+SUM(D69:D72)</f>
        <v>140000</v>
      </c>
      <c r="E68" s="24">
        <f>+SUM(E69:E72)</f>
        <v>140000</v>
      </c>
      <c r="F68" s="45">
        <f>+E68/D68-1</f>
        <v>0</v>
      </c>
      <c r="G68" s="24">
        <f>+SUM(G69:G72)</f>
        <v>140000</v>
      </c>
      <c r="H68" s="45">
        <f>+G68/E68-1</f>
        <v>0</v>
      </c>
      <c r="I68" s="24">
        <f>+SUM(I69:I72)</f>
        <v>140000</v>
      </c>
      <c r="J68" s="45">
        <f>+I68/G68-1</f>
        <v>0</v>
      </c>
    </row>
    <row r="69" spans="1:10" x14ac:dyDescent="0.3">
      <c r="A69" s="47"/>
      <c r="B69" s="59" t="s">
        <v>86</v>
      </c>
      <c r="C69" s="49">
        <v>69742.510000000009</v>
      </c>
      <c r="D69" s="49">
        <v>70000</v>
      </c>
      <c r="E69" s="49">
        <v>40000</v>
      </c>
      <c r="F69" s="51">
        <f t="shared" si="0"/>
        <v>-0.4285714285714286</v>
      </c>
      <c r="G69" s="49">
        <v>40000</v>
      </c>
      <c r="H69" s="51">
        <f t="shared" si="4"/>
        <v>0</v>
      </c>
      <c r="I69" s="49">
        <v>40000</v>
      </c>
      <c r="J69" s="51">
        <f t="shared" si="2"/>
        <v>0</v>
      </c>
    </row>
    <row r="70" spans="1:10" x14ac:dyDescent="0.3">
      <c r="A70" s="47"/>
      <c r="B70" s="59" t="s">
        <v>87</v>
      </c>
      <c r="C70" s="49">
        <v>0</v>
      </c>
      <c r="D70" s="49">
        <v>20000</v>
      </c>
      <c r="E70" s="49">
        <v>40000</v>
      </c>
      <c r="F70" s="51">
        <f t="shared" ref="F70:F72" si="5">+E70/D70-1</f>
        <v>1</v>
      </c>
      <c r="G70" s="49">
        <v>40000</v>
      </c>
      <c r="H70" s="51">
        <f t="shared" si="4"/>
        <v>0</v>
      </c>
      <c r="I70" s="49">
        <v>40000</v>
      </c>
      <c r="J70" s="51">
        <f t="shared" ref="J70:J72" si="6">+I70/G70-1</f>
        <v>0</v>
      </c>
    </row>
    <row r="71" spans="1:10" x14ac:dyDescent="0.3">
      <c r="A71" s="47"/>
      <c r="B71" s="59" t="s">
        <v>262</v>
      </c>
      <c r="C71" s="61">
        <v>0</v>
      </c>
      <c r="D71" s="61">
        <v>20000</v>
      </c>
      <c r="E71" s="61">
        <v>20000</v>
      </c>
      <c r="F71" s="51">
        <f t="shared" si="5"/>
        <v>0</v>
      </c>
      <c r="G71" s="155">
        <v>20000</v>
      </c>
      <c r="H71" s="51">
        <f t="shared" si="4"/>
        <v>0</v>
      </c>
      <c r="I71" s="155">
        <v>20000</v>
      </c>
      <c r="J71" s="51">
        <f t="shared" si="4"/>
        <v>0</v>
      </c>
    </row>
    <row r="72" spans="1:10" x14ac:dyDescent="0.3">
      <c r="A72" s="47"/>
      <c r="B72" s="59" t="s">
        <v>88</v>
      </c>
      <c r="C72" s="49">
        <v>0</v>
      </c>
      <c r="D72" s="49">
        <v>30000</v>
      </c>
      <c r="E72" s="49">
        <v>40000</v>
      </c>
      <c r="F72" s="51">
        <f t="shared" si="5"/>
        <v>0.33333333333333326</v>
      </c>
      <c r="G72" s="49">
        <v>40000</v>
      </c>
      <c r="H72" s="51">
        <f t="shared" si="4"/>
        <v>0</v>
      </c>
      <c r="I72" s="49">
        <v>40000</v>
      </c>
      <c r="J72" s="51">
        <f t="shared" si="6"/>
        <v>0</v>
      </c>
    </row>
    <row r="73" spans="1:10" x14ac:dyDescent="0.3">
      <c r="A73" s="73" t="s">
        <v>90</v>
      </c>
      <c r="B73" s="42"/>
      <c r="C73" s="24">
        <f>+SUM(C74:C84)</f>
        <v>48944.74</v>
      </c>
      <c r="D73" s="24">
        <f>+SUM(D74:D84)</f>
        <v>131400</v>
      </c>
      <c r="E73" s="24">
        <f>+SUM(E74:E84)</f>
        <v>162770</v>
      </c>
      <c r="F73" s="45">
        <f>+E73/D73-1</f>
        <v>0.23873668188736685</v>
      </c>
      <c r="G73" s="24">
        <f>+SUM(G74:G84)</f>
        <v>167150</v>
      </c>
      <c r="H73" s="45">
        <f>+G73/E73-1</f>
        <v>2.6909135590096556E-2</v>
      </c>
      <c r="I73" s="24">
        <f>+SUM(I74:I84)</f>
        <v>174265</v>
      </c>
      <c r="J73" s="45">
        <f>+I73/G73-1</f>
        <v>4.2566556984744208E-2</v>
      </c>
    </row>
    <row r="74" spans="1:10" x14ac:dyDescent="0.3">
      <c r="A74" s="47"/>
      <c r="B74" s="59" t="s">
        <v>91</v>
      </c>
      <c r="C74" s="50">
        <v>0</v>
      </c>
      <c r="D74" s="50">
        <v>4000</v>
      </c>
      <c r="E74" s="50">
        <v>4200</v>
      </c>
      <c r="F74" s="51">
        <f t="shared" ref="F74:F84" si="7">+E74/D74-1</f>
        <v>5.0000000000000044E-2</v>
      </c>
      <c r="G74" s="50">
        <v>4300</v>
      </c>
      <c r="H74" s="51">
        <f t="shared" si="4"/>
        <v>2.3809523809523725E-2</v>
      </c>
      <c r="I74" s="50">
        <v>4400</v>
      </c>
      <c r="J74" s="51">
        <f t="shared" ref="J74:J112" si="8">+I74/G74-1</f>
        <v>2.3255813953488413E-2</v>
      </c>
    </row>
    <row r="75" spans="1:10" x14ac:dyDescent="0.3">
      <c r="A75" s="47"/>
      <c r="B75" s="59" t="s">
        <v>92</v>
      </c>
      <c r="C75" s="50">
        <v>4025</v>
      </c>
      <c r="D75" s="50">
        <v>10000</v>
      </c>
      <c r="E75" s="50">
        <v>10500</v>
      </c>
      <c r="F75" s="51">
        <f t="shared" si="7"/>
        <v>5.0000000000000044E-2</v>
      </c>
      <c r="G75" s="50">
        <v>11000</v>
      </c>
      <c r="H75" s="51">
        <f t="shared" si="4"/>
        <v>4.7619047619047672E-2</v>
      </c>
      <c r="I75" s="50">
        <v>11000</v>
      </c>
      <c r="J75" s="51">
        <f t="shared" si="8"/>
        <v>0</v>
      </c>
    </row>
    <row r="76" spans="1:10" x14ac:dyDescent="0.3">
      <c r="A76" s="47"/>
      <c r="B76" s="59" t="s">
        <v>266</v>
      </c>
      <c r="C76" s="50">
        <v>0</v>
      </c>
      <c r="D76" s="50">
        <v>24000</v>
      </c>
      <c r="E76" s="50">
        <v>50000</v>
      </c>
      <c r="F76" s="51">
        <f>+E76/D76-1</f>
        <v>1.0833333333333335</v>
      </c>
      <c r="G76" s="50">
        <f>+E76*1.05</f>
        <v>52500</v>
      </c>
      <c r="H76" s="51">
        <f>+G76/E76-1</f>
        <v>5.0000000000000044E-2</v>
      </c>
      <c r="I76" s="50">
        <f>+G76*1.05</f>
        <v>55125</v>
      </c>
      <c r="J76" s="51">
        <f>+I76/G76-1</f>
        <v>5.0000000000000044E-2</v>
      </c>
    </row>
    <row r="77" spans="1:10" x14ac:dyDescent="0.3">
      <c r="A77" s="47"/>
      <c r="B77" s="59" t="s">
        <v>93</v>
      </c>
      <c r="C77" s="50">
        <v>0</v>
      </c>
      <c r="D77" s="50">
        <v>1400</v>
      </c>
      <c r="E77" s="50">
        <v>1470</v>
      </c>
      <c r="F77" s="51">
        <f t="shared" si="7"/>
        <v>5.0000000000000044E-2</v>
      </c>
      <c r="G77" s="50">
        <v>1500</v>
      </c>
      <c r="H77" s="51">
        <f t="shared" si="4"/>
        <v>2.0408163265306145E-2</v>
      </c>
      <c r="I77" s="50">
        <v>1540</v>
      </c>
      <c r="J77" s="51">
        <f t="shared" si="8"/>
        <v>2.6666666666666616E-2</v>
      </c>
    </row>
    <row r="78" spans="1:10" x14ac:dyDescent="0.3">
      <c r="A78" s="47"/>
      <c r="B78" s="59" t="s">
        <v>94</v>
      </c>
      <c r="C78" s="50">
        <v>2245.1799999999985</v>
      </c>
      <c r="D78" s="50">
        <v>0</v>
      </c>
      <c r="E78" s="50">
        <v>0</v>
      </c>
      <c r="F78" s="51"/>
      <c r="G78" s="50">
        <v>0</v>
      </c>
      <c r="H78" s="51"/>
      <c r="I78" s="50">
        <v>0</v>
      </c>
      <c r="J78" s="51"/>
    </row>
    <row r="79" spans="1:10" x14ac:dyDescent="0.3">
      <c r="A79" s="47"/>
      <c r="B79" s="59" t="s">
        <v>95</v>
      </c>
      <c r="C79" s="50">
        <v>7000</v>
      </c>
      <c r="D79" s="50">
        <v>15000</v>
      </c>
      <c r="E79" s="50">
        <v>15750</v>
      </c>
      <c r="F79" s="51">
        <f t="shared" si="7"/>
        <v>5.0000000000000044E-2</v>
      </c>
      <c r="G79" s="50">
        <v>16000</v>
      </c>
      <c r="H79" s="51">
        <f t="shared" si="4"/>
        <v>1.5873015873015817E-2</v>
      </c>
      <c r="I79" s="50">
        <v>16500</v>
      </c>
      <c r="J79" s="51">
        <f t="shared" si="8"/>
        <v>3.125E-2</v>
      </c>
    </row>
    <row r="80" spans="1:10" x14ac:dyDescent="0.3">
      <c r="A80" s="47"/>
      <c r="B80" s="59" t="s">
        <v>96</v>
      </c>
      <c r="C80" s="50">
        <v>10845.7</v>
      </c>
      <c r="D80" s="50">
        <v>20000</v>
      </c>
      <c r="E80" s="50">
        <v>21000</v>
      </c>
      <c r="F80" s="51">
        <f t="shared" si="7"/>
        <v>5.0000000000000044E-2</v>
      </c>
      <c r="G80" s="50">
        <v>22000</v>
      </c>
      <c r="H80" s="51">
        <f t="shared" si="4"/>
        <v>4.7619047619047672E-2</v>
      </c>
      <c r="I80" s="50">
        <v>23000</v>
      </c>
      <c r="J80" s="51">
        <f t="shared" si="8"/>
        <v>4.5454545454545414E-2</v>
      </c>
    </row>
    <row r="81" spans="1:10" x14ac:dyDescent="0.3">
      <c r="A81" s="47"/>
      <c r="B81" s="59" t="s">
        <v>97</v>
      </c>
      <c r="C81" s="50">
        <v>18500</v>
      </c>
      <c r="D81" s="50">
        <v>20000</v>
      </c>
      <c r="E81" s="50">
        <v>21000</v>
      </c>
      <c r="F81" s="51">
        <f t="shared" si="7"/>
        <v>5.0000000000000044E-2</v>
      </c>
      <c r="G81" s="50">
        <v>21000</v>
      </c>
      <c r="H81" s="51">
        <f t="shared" si="4"/>
        <v>0</v>
      </c>
      <c r="I81" s="50">
        <v>22000</v>
      </c>
      <c r="J81" s="51">
        <f t="shared" si="8"/>
        <v>4.7619047619047672E-2</v>
      </c>
    </row>
    <row r="82" spans="1:10" x14ac:dyDescent="0.3">
      <c r="A82" s="47"/>
      <c r="B82" s="59" t="s">
        <v>98</v>
      </c>
      <c r="C82" s="50">
        <v>0</v>
      </c>
      <c r="D82" s="50">
        <v>2000</v>
      </c>
      <c r="E82" s="50">
        <v>2100</v>
      </c>
      <c r="F82" s="51">
        <f t="shared" si="7"/>
        <v>5.0000000000000044E-2</v>
      </c>
      <c r="G82" s="50">
        <v>2100</v>
      </c>
      <c r="H82" s="51">
        <f t="shared" si="4"/>
        <v>0</v>
      </c>
      <c r="I82" s="50">
        <v>2200</v>
      </c>
      <c r="J82" s="51">
        <f t="shared" si="8"/>
        <v>4.7619047619047672E-2</v>
      </c>
    </row>
    <row r="83" spans="1:10" x14ac:dyDescent="0.3">
      <c r="A83" s="47"/>
      <c r="B83" s="59" t="s">
        <v>233</v>
      </c>
      <c r="C83" s="50">
        <v>6328.86</v>
      </c>
      <c r="D83" s="50">
        <v>15000</v>
      </c>
      <c r="E83" s="50">
        <v>15750</v>
      </c>
      <c r="F83" s="51">
        <f t="shared" si="7"/>
        <v>5.0000000000000044E-2</v>
      </c>
      <c r="G83" s="50">
        <v>15750</v>
      </c>
      <c r="H83" s="51">
        <f t="shared" si="4"/>
        <v>0</v>
      </c>
      <c r="I83" s="50">
        <v>16500</v>
      </c>
      <c r="J83" s="51">
        <f t="shared" si="8"/>
        <v>4.7619047619047672E-2</v>
      </c>
    </row>
    <row r="84" spans="1:10" x14ac:dyDescent="0.3">
      <c r="A84" s="47"/>
      <c r="B84" s="59" t="s">
        <v>240</v>
      </c>
      <c r="C84" s="50">
        <v>0</v>
      </c>
      <c r="D84" s="50">
        <v>20000</v>
      </c>
      <c r="E84" s="50">
        <v>21000</v>
      </c>
      <c r="F84" s="51">
        <f t="shared" si="7"/>
        <v>5.0000000000000044E-2</v>
      </c>
      <c r="G84" s="50">
        <v>21000</v>
      </c>
      <c r="H84" s="51">
        <f t="shared" si="4"/>
        <v>0</v>
      </c>
      <c r="I84" s="50">
        <v>22000</v>
      </c>
      <c r="J84" s="51">
        <f t="shared" si="8"/>
        <v>4.7619047619047672E-2</v>
      </c>
    </row>
    <row r="85" spans="1:10" x14ac:dyDescent="0.3">
      <c r="A85" s="42" t="s">
        <v>100</v>
      </c>
      <c r="B85" s="42"/>
      <c r="C85" s="24">
        <f>+SUM(C86:C91)</f>
        <v>19029.03</v>
      </c>
      <c r="D85" s="24">
        <f>+SUM(D86:D91)</f>
        <v>103400</v>
      </c>
      <c r="E85" s="24">
        <f>+SUM(E86:E91)</f>
        <v>144600</v>
      </c>
      <c r="F85" s="45">
        <f>+E85/D85-1</f>
        <v>0.39845261121856868</v>
      </c>
      <c r="G85" s="24">
        <f>+SUM(G86:G91)</f>
        <v>145100</v>
      </c>
      <c r="H85" s="45">
        <f>+G85/E85-1</f>
        <v>3.4578146611341509E-3</v>
      </c>
      <c r="I85" s="24">
        <f>+SUM(I86:I91)</f>
        <v>112200</v>
      </c>
      <c r="J85" s="45">
        <f>+I85/G85-1</f>
        <v>-0.2267401791867677</v>
      </c>
    </row>
    <row r="86" spans="1:10" x14ac:dyDescent="0.3">
      <c r="A86" s="47"/>
      <c r="B86" s="47" t="s">
        <v>101</v>
      </c>
      <c r="C86" s="50">
        <v>2801.82</v>
      </c>
      <c r="D86" s="50">
        <v>30000</v>
      </c>
      <c r="E86" s="50">
        <v>31500</v>
      </c>
      <c r="F86" s="51">
        <f t="shared" ref="F86:F111" si="9">+E86/D86-1</f>
        <v>5.0000000000000044E-2</v>
      </c>
      <c r="G86" s="50">
        <v>31500</v>
      </c>
      <c r="H86" s="51">
        <f t="shared" si="4"/>
        <v>0</v>
      </c>
      <c r="I86" s="50">
        <v>33000</v>
      </c>
      <c r="J86" s="51">
        <f t="shared" si="8"/>
        <v>4.7619047619047672E-2</v>
      </c>
    </row>
    <row r="87" spans="1:10" x14ac:dyDescent="0.3">
      <c r="A87" s="47"/>
      <c r="B87" s="47" t="s">
        <v>102</v>
      </c>
      <c r="C87" s="50">
        <v>0</v>
      </c>
      <c r="D87" s="50">
        <v>1400</v>
      </c>
      <c r="E87" s="50">
        <v>0</v>
      </c>
      <c r="F87" s="51">
        <f t="shared" si="9"/>
        <v>-1</v>
      </c>
      <c r="G87" s="50">
        <v>0</v>
      </c>
      <c r="H87" s="51"/>
      <c r="I87" s="50">
        <v>0</v>
      </c>
      <c r="J87" s="51"/>
    </row>
    <row r="88" spans="1:10" x14ac:dyDescent="0.3">
      <c r="A88" s="47"/>
      <c r="B88" s="62" t="s">
        <v>149</v>
      </c>
      <c r="C88" s="50">
        <v>0</v>
      </c>
      <c r="D88" s="50">
        <v>2000</v>
      </c>
      <c r="E88" s="50">
        <v>2100</v>
      </c>
      <c r="F88" s="51">
        <f t="shared" si="9"/>
        <v>5.0000000000000044E-2</v>
      </c>
      <c r="G88" s="50">
        <v>2100</v>
      </c>
      <c r="H88" s="51">
        <f t="shared" si="4"/>
        <v>0</v>
      </c>
      <c r="I88" s="50">
        <v>2200</v>
      </c>
      <c r="J88" s="51">
        <f t="shared" si="8"/>
        <v>4.7619047619047672E-2</v>
      </c>
    </row>
    <row r="89" spans="1:10" x14ac:dyDescent="0.3">
      <c r="A89" s="47"/>
      <c r="B89" s="62" t="s">
        <v>162</v>
      </c>
      <c r="C89" s="50">
        <v>0</v>
      </c>
      <c r="D89" s="50">
        <v>10000</v>
      </c>
      <c r="E89" s="50">
        <v>10500</v>
      </c>
      <c r="F89" s="51">
        <f t="shared" si="9"/>
        <v>5.0000000000000044E-2</v>
      </c>
      <c r="G89" s="50">
        <v>11000</v>
      </c>
      <c r="H89" s="51">
        <f t="shared" si="4"/>
        <v>4.7619047619047672E-2</v>
      </c>
      <c r="I89" s="50">
        <v>11000</v>
      </c>
      <c r="J89" s="51">
        <f t="shared" si="8"/>
        <v>0</v>
      </c>
    </row>
    <row r="90" spans="1:10" x14ac:dyDescent="0.3">
      <c r="A90" s="47"/>
      <c r="B90" s="47" t="s">
        <v>103</v>
      </c>
      <c r="C90" s="50">
        <v>10000</v>
      </c>
      <c r="D90" s="50">
        <v>50000</v>
      </c>
      <c r="E90" s="50">
        <v>90000</v>
      </c>
      <c r="F90" s="51">
        <f t="shared" si="9"/>
        <v>0.8</v>
      </c>
      <c r="G90" s="50">
        <v>90000</v>
      </c>
      <c r="H90" s="51">
        <f t="shared" si="4"/>
        <v>0</v>
      </c>
      <c r="I90" s="50">
        <v>55000</v>
      </c>
      <c r="J90" s="51">
        <f t="shared" si="8"/>
        <v>-0.38888888888888884</v>
      </c>
    </row>
    <row r="91" spans="1:10" x14ac:dyDescent="0.3">
      <c r="A91" s="47"/>
      <c r="B91" s="62" t="s">
        <v>104</v>
      </c>
      <c r="C91" s="50">
        <v>6227.2099999999991</v>
      </c>
      <c r="D91" s="50">
        <v>10000</v>
      </c>
      <c r="E91" s="50">
        <v>10500</v>
      </c>
      <c r="F91" s="51">
        <f t="shared" si="9"/>
        <v>5.0000000000000044E-2</v>
      </c>
      <c r="G91" s="50">
        <v>10500</v>
      </c>
      <c r="H91" s="51">
        <f t="shared" si="4"/>
        <v>0</v>
      </c>
      <c r="I91" s="50">
        <v>11000</v>
      </c>
      <c r="J91" s="51">
        <f t="shared" si="8"/>
        <v>4.7619047619047672E-2</v>
      </c>
    </row>
    <row r="92" spans="1:10" x14ac:dyDescent="0.3">
      <c r="A92" s="42" t="s">
        <v>105</v>
      </c>
      <c r="B92" s="42"/>
      <c r="C92" s="58">
        <f>+SUM(C93:C94)</f>
        <v>3300</v>
      </c>
      <c r="D92" s="58">
        <f t="shared" ref="D92:E92" si="10">+SUM(D93:D94)</f>
        <v>10000</v>
      </c>
      <c r="E92" s="58">
        <f t="shared" si="10"/>
        <v>45000</v>
      </c>
      <c r="F92" s="45">
        <f>+E92/D92-1</f>
        <v>3.5</v>
      </c>
      <c r="G92" s="58">
        <f>+SUM(G93:G94)</f>
        <v>25000</v>
      </c>
      <c r="H92" s="45">
        <f>+G92/E92-1</f>
        <v>-0.44444444444444442</v>
      </c>
      <c r="I92" s="58">
        <f>+SUM(I93:I94)</f>
        <v>25000</v>
      </c>
      <c r="J92" s="45">
        <f>+I92/G92-1</f>
        <v>0</v>
      </c>
    </row>
    <row r="93" spans="1:10" x14ac:dyDescent="0.3">
      <c r="A93" s="47"/>
      <c r="B93" s="47" t="s">
        <v>163</v>
      </c>
      <c r="C93" s="71">
        <v>3300</v>
      </c>
      <c r="D93" s="71">
        <v>10000</v>
      </c>
      <c r="E93" s="71">
        <v>25000</v>
      </c>
      <c r="F93" s="51">
        <f t="shared" si="9"/>
        <v>1.5</v>
      </c>
      <c r="G93" s="71">
        <v>25000</v>
      </c>
      <c r="H93" s="51">
        <f t="shared" si="4"/>
        <v>0</v>
      </c>
      <c r="I93" s="71">
        <v>25000</v>
      </c>
      <c r="J93" s="51">
        <f t="shared" si="8"/>
        <v>0</v>
      </c>
    </row>
    <row r="94" spans="1:10" x14ac:dyDescent="0.3">
      <c r="A94" s="47"/>
      <c r="B94" s="47" t="s">
        <v>268</v>
      </c>
      <c r="C94" s="71">
        <v>0</v>
      </c>
      <c r="D94" s="71">
        <v>0</v>
      </c>
      <c r="E94" s="71">
        <v>20000</v>
      </c>
      <c r="F94" s="51"/>
      <c r="G94" s="71">
        <v>0</v>
      </c>
      <c r="H94" s="51">
        <f t="shared" si="4"/>
        <v>-1</v>
      </c>
      <c r="I94" s="71">
        <v>0</v>
      </c>
      <c r="J94" s="51"/>
    </row>
    <row r="95" spans="1:10" x14ac:dyDescent="0.3">
      <c r="A95" s="42" t="s">
        <v>106</v>
      </c>
      <c r="B95" s="42"/>
      <c r="C95" s="58">
        <f>+SUM(C96:C97)</f>
        <v>23907.4</v>
      </c>
      <c r="D95" s="58">
        <f>+SUM(D96:D97)</f>
        <v>36500</v>
      </c>
      <c r="E95" s="58">
        <f>+SUM(E96:E97)</f>
        <v>61500</v>
      </c>
      <c r="F95" s="45">
        <f>+E95/D95-1</f>
        <v>0.68493150684931514</v>
      </c>
      <c r="G95" s="58">
        <f>+SUM(G96:G97)</f>
        <v>61500</v>
      </c>
      <c r="H95" s="45">
        <f>+G95/E95-1</f>
        <v>0</v>
      </c>
      <c r="I95" s="58">
        <f>+SUM(I96:I97)</f>
        <v>63000</v>
      </c>
      <c r="J95" s="45">
        <f>+I95/G95-1</f>
        <v>2.4390243902439046E-2</v>
      </c>
    </row>
    <row r="96" spans="1:10" x14ac:dyDescent="0.3">
      <c r="A96" s="47"/>
      <c r="B96" s="47" t="s">
        <v>107</v>
      </c>
      <c r="C96" s="78">
        <v>13907.4</v>
      </c>
      <c r="D96" s="78">
        <v>6500</v>
      </c>
      <c r="E96" s="78">
        <v>30000</v>
      </c>
      <c r="F96" s="51">
        <f t="shared" si="9"/>
        <v>3.615384615384615</v>
      </c>
      <c r="G96" s="78">
        <v>30000</v>
      </c>
      <c r="H96" s="51">
        <f t="shared" si="4"/>
        <v>0</v>
      </c>
      <c r="I96" s="78">
        <v>30000</v>
      </c>
      <c r="J96" s="51">
        <f t="shared" si="8"/>
        <v>0</v>
      </c>
    </row>
    <row r="97" spans="1:10" x14ac:dyDescent="0.3">
      <c r="A97" s="47"/>
      <c r="B97" s="47" t="s">
        <v>108</v>
      </c>
      <c r="C97" s="78">
        <v>10000</v>
      </c>
      <c r="D97" s="78">
        <v>30000</v>
      </c>
      <c r="E97" s="78">
        <v>31500</v>
      </c>
      <c r="F97" s="51">
        <f t="shared" si="9"/>
        <v>5.0000000000000044E-2</v>
      </c>
      <c r="G97" s="78">
        <v>31500</v>
      </c>
      <c r="H97" s="51">
        <f t="shared" si="4"/>
        <v>0</v>
      </c>
      <c r="I97" s="78">
        <v>33000</v>
      </c>
      <c r="J97" s="51">
        <f t="shared" si="8"/>
        <v>4.7619047619047672E-2</v>
      </c>
    </row>
    <row r="98" spans="1:10" x14ac:dyDescent="0.3">
      <c r="A98" s="42" t="s">
        <v>110</v>
      </c>
      <c r="B98" s="42"/>
      <c r="C98" s="24">
        <f>+SUM(C99:C104)</f>
        <v>185049.83000000002</v>
      </c>
      <c r="D98" s="24">
        <f>+SUM(D99:D104)</f>
        <v>403000</v>
      </c>
      <c r="E98" s="24">
        <f>+SUM(E99:E104)</f>
        <v>384650</v>
      </c>
      <c r="F98" s="45">
        <f>+E98/D98-1</f>
        <v>-4.5533498759305235E-2</v>
      </c>
      <c r="G98" s="24">
        <f>+SUM(G99:G104)</f>
        <v>389700</v>
      </c>
      <c r="H98" s="45">
        <f>+G98/E98-1</f>
        <v>1.312881840634339E-2</v>
      </c>
      <c r="I98" s="24">
        <f>+SUM(I99:I104)</f>
        <v>413300</v>
      </c>
      <c r="J98" s="45">
        <f>+I98/G98-1</f>
        <v>6.0559404670259109E-2</v>
      </c>
    </row>
    <row r="99" spans="1:10" x14ac:dyDescent="0.3">
      <c r="A99" s="47"/>
      <c r="B99" s="47" t="s">
        <v>111</v>
      </c>
      <c r="C99" s="61">
        <v>66083.540000000008</v>
      </c>
      <c r="D99" s="61">
        <v>100000</v>
      </c>
      <c r="E99" s="61">
        <v>75000</v>
      </c>
      <c r="F99" s="51">
        <f t="shared" si="9"/>
        <v>-0.25</v>
      </c>
      <c r="G99" s="61">
        <v>75000</v>
      </c>
      <c r="H99" s="51">
        <f t="shared" si="4"/>
        <v>0</v>
      </c>
      <c r="I99" s="61">
        <v>80000</v>
      </c>
      <c r="J99" s="51">
        <f t="shared" si="8"/>
        <v>6.6666666666666652E-2</v>
      </c>
    </row>
    <row r="100" spans="1:10" x14ac:dyDescent="0.3">
      <c r="A100" s="47"/>
      <c r="B100" s="47" t="s">
        <v>112</v>
      </c>
      <c r="C100" s="61">
        <v>14065.95</v>
      </c>
      <c r="D100" s="61">
        <v>27000</v>
      </c>
      <c r="E100" s="61">
        <v>28350</v>
      </c>
      <c r="F100" s="51">
        <f t="shared" si="9"/>
        <v>5.0000000000000044E-2</v>
      </c>
      <c r="G100" s="61">
        <v>28350</v>
      </c>
      <c r="H100" s="51">
        <f t="shared" si="4"/>
        <v>0</v>
      </c>
      <c r="I100" s="61">
        <v>29700</v>
      </c>
      <c r="J100" s="51">
        <f t="shared" si="8"/>
        <v>4.7619047619047672E-2</v>
      </c>
    </row>
    <row r="101" spans="1:10" x14ac:dyDescent="0.3">
      <c r="A101" s="47"/>
      <c r="B101" s="47" t="s">
        <v>113</v>
      </c>
      <c r="C101" s="61">
        <v>3737.17</v>
      </c>
      <c r="D101" s="61">
        <v>5000</v>
      </c>
      <c r="E101" s="61">
        <v>5250</v>
      </c>
      <c r="F101" s="51">
        <f t="shared" si="9"/>
        <v>5.0000000000000044E-2</v>
      </c>
      <c r="G101" s="61">
        <v>5250</v>
      </c>
      <c r="H101" s="51">
        <f t="shared" si="4"/>
        <v>0</v>
      </c>
      <c r="I101" s="61">
        <v>5500</v>
      </c>
      <c r="J101" s="51">
        <f t="shared" si="8"/>
        <v>4.7619047619047672E-2</v>
      </c>
    </row>
    <row r="102" spans="1:10" x14ac:dyDescent="0.3">
      <c r="A102" s="47"/>
      <c r="B102" s="47" t="s">
        <v>261</v>
      </c>
      <c r="C102" s="61">
        <v>2013.17</v>
      </c>
      <c r="D102" s="61">
        <v>100000</v>
      </c>
      <c r="E102" s="61">
        <v>105000</v>
      </c>
      <c r="F102" s="51">
        <f t="shared" si="9"/>
        <v>5.0000000000000044E-2</v>
      </c>
      <c r="G102" s="61">
        <v>105000</v>
      </c>
      <c r="H102" s="51">
        <f t="shared" ref="H102:J114" si="11">+G102/E102-1</f>
        <v>0</v>
      </c>
      <c r="I102" s="61">
        <v>110000</v>
      </c>
      <c r="J102" s="51">
        <f t="shared" si="8"/>
        <v>4.7619047619047672E-2</v>
      </c>
    </row>
    <row r="103" spans="1:10" x14ac:dyDescent="0.3">
      <c r="A103" s="47"/>
      <c r="B103" s="47" t="s">
        <v>114</v>
      </c>
      <c r="C103" s="61">
        <v>99150</v>
      </c>
      <c r="D103" s="61">
        <v>170000</v>
      </c>
      <c r="E103" s="61">
        <v>170000</v>
      </c>
      <c r="F103" s="51">
        <f t="shared" si="9"/>
        <v>0</v>
      </c>
      <c r="G103" s="61">
        <v>175000</v>
      </c>
      <c r="H103" s="51">
        <f t="shared" si="11"/>
        <v>2.9411764705882248E-2</v>
      </c>
      <c r="I103" s="61">
        <v>187000</v>
      </c>
      <c r="J103" s="51">
        <f t="shared" si="8"/>
        <v>6.8571428571428505E-2</v>
      </c>
    </row>
    <row r="104" spans="1:10" x14ac:dyDescent="0.3">
      <c r="A104" s="47"/>
      <c r="B104" s="47" t="s">
        <v>115</v>
      </c>
      <c r="C104" s="61">
        <v>0</v>
      </c>
      <c r="D104" s="61">
        <v>1000</v>
      </c>
      <c r="E104" s="61">
        <v>1050</v>
      </c>
      <c r="F104" s="51">
        <f t="shared" si="9"/>
        <v>5.0000000000000044E-2</v>
      </c>
      <c r="G104" s="61">
        <v>1100</v>
      </c>
      <c r="H104" s="51">
        <f t="shared" si="11"/>
        <v>4.7619047619047672E-2</v>
      </c>
      <c r="I104" s="61">
        <v>1100</v>
      </c>
      <c r="J104" s="51">
        <f t="shared" si="8"/>
        <v>0</v>
      </c>
    </row>
    <row r="105" spans="1:10" x14ac:dyDescent="0.3">
      <c r="A105" s="42" t="s">
        <v>117</v>
      </c>
      <c r="B105" s="42"/>
      <c r="C105" s="24">
        <f>+SUM(C106:C112)</f>
        <v>51357.25</v>
      </c>
      <c r="D105" s="24">
        <f>+SUM(D106:D112)</f>
        <v>87500</v>
      </c>
      <c r="E105" s="24">
        <f>+SUM(E106:E112)</f>
        <v>140875</v>
      </c>
      <c r="F105" s="45">
        <f>+E105/D105-1</f>
        <v>0.6100000000000001</v>
      </c>
      <c r="G105" s="24">
        <f>+SUM(G106:G112)</f>
        <v>142350</v>
      </c>
      <c r="H105" s="45">
        <f>+G105/E105-1</f>
        <v>1.0470275066548407E-2</v>
      </c>
      <c r="I105" s="24">
        <f>+SUM(I106:I112)</f>
        <v>146250</v>
      </c>
      <c r="J105" s="45">
        <f>+I105/G105-1</f>
        <v>2.7397260273972712E-2</v>
      </c>
    </row>
    <row r="106" spans="1:10" x14ac:dyDescent="0.3">
      <c r="A106" s="47"/>
      <c r="B106" s="59" t="s">
        <v>243</v>
      </c>
      <c r="C106" s="61">
        <v>4700</v>
      </c>
      <c r="D106" s="61">
        <v>5000</v>
      </c>
      <c r="E106" s="61">
        <v>5250</v>
      </c>
      <c r="F106" s="51">
        <f t="shared" si="9"/>
        <v>5.0000000000000044E-2</v>
      </c>
      <c r="G106" s="61">
        <v>5250</v>
      </c>
      <c r="H106" s="51">
        <f t="shared" si="11"/>
        <v>0</v>
      </c>
      <c r="I106" s="61">
        <v>5500</v>
      </c>
      <c r="J106" s="51">
        <f t="shared" si="8"/>
        <v>4.7619047619047672E-2</v>
      </c>
    </row>
    <row r="107" spans="1:10" x14ac:dyDescent="0.3">
      <c r="A107" s="47"/>
      <c r="B107" s="59" t="s">
        <v>118</v>
      </c>
      <c r="C107" s="61">
        <v>0</v>
      </c>
      <c r="D107" s="61">
        <v>1000</v>
      </c>
      <c r="E107" s="61">
        <v>1050</v>
      </c>
      <c r="F107" s="51">
        <f t="shared" si="9"/>
        <v>5.0000000000000044E-2</v>
      </c>
      <c r="G107" s="61">
        <v>1100</v>
      </c>
      <c r="H107" s="51">
        <f t="shared" si="11"/>
        <v>4.7619047619047672E-2</v>
      </c>
      <c r="I107" s="61">
        <v>1100</v>
      </c>
      <c r="J107" s="51">
        <f t="shared" si="8"/>
        <v>0</v>
      </c>
    </row>
    <row r="108" spans="1:10" x14ac:dyDescent="0.3">
      <c r="A108" s="47"/>
      <c r="B108" s="47" t="s">
        <v>119</v>
      </c>
      <c r="C108" s="61">
        <v>13000</v>
      </c>
      <c r="D108" s="61">
        <v>15000</v>
      </c>
      <c r="E108" s="61">
        <v>15750</v>
      </c>
      <c r="F108" s="51">
        <f t="shared" si="9"/>
        <v>5.0000000000000044E-2</v>
      </c>
      <c r="G108" s="61">
        <v>16000</v>
      </c>
      <c r="H108" s="51">
        <f t="shared" si="11"/>
        <v>1.5873015873015817E-2</v>
      </c>
      <c r="I108" s="61">
        <v>16500</v>
      </c>
      <c r="J108" s="51">
        <f t="shared" si="8"/>
        <v>3.125E-2</v>
      </c>
    </row>
    <row r="109" spans="1:10" x14ac:dyDescent="0.3">
      <c r="A109" s="47"/>
      <c r="B109" s="59" t="s">
        <v>120</v>
      </c>
      <c r="C109" s="61">
        <v>15654.039999999999</v>
      </c>
      <c r="D109" s="61">
        <v>26500</v>
      </c>
      <c r="E109" s="61">
        <v>27825</v>
      </c>
      <c r="F109" s="51">
        <f t="shared" si="9"/>
        <v>5.0000000000000044E-2</v>
      </c>
      <c r="G109" s="61">
        <v>28000</v>
      </c>
      <c r="H109" s="51">
        <f t="shared" si="11"/>
        <v>6.2893081761006275E-3</v>
      </c>
      <c r="I109" s="61">
        <v>29150</v>
      </c>
      <c r="J109" s="51">
        <f t="shared" si="8"/>
        <v>4.1071428571428648E-2</v>
      </c>
    </row>
    <row r="110" spans="1:10" x14ac:dyDescent="0.3">
      <c r="A110" s="47"/>
      <c r="B110" s="59" t="s">
        <v>234</v>
      </c>
      <c r="C110" s="61">
        <v>18003.21</v>
      </c>
      <c r="D110" s="61">
        <v>20000</v>
      </c>
      <c r="E110" s="61">
        <v>21000</v>
      </c>
      <c r="F110" s="51">
        <f t="shared" si="9"/>
        <v>5.0000000000000044E-2</v>
      </c>
      <c r="G110" s="61">
        <v>21000</v>
      </c>
      <c r="H110" s="51">
        <f t="shared" si="11"/>
        <v>0</v>
      </c>
      <c r="I110" s="61">
        <v>22000</v>
      </c>
      <c r="J110" s="51">
        <f t="shared" si="8"/>
        <v>4.7619047619047672E-2</v>
      </c>
    </row>
    <row r="111" spans="1:10" x14ac:dyDescent="0.3">
      <c r="A111" s="47"/>
      <c r="B111" s="59" t="s">
        <v>121</v>
      </c>
      <c r="C111" s="61">
        <v>0</v>
      </c>
      <c r="D111" s="61">
        <v>20000</v>
      </c>
      <c r="E111" s="61">
        <v>20000</v>
      </c>
      <c r="F111" s="51">
        <f t="shared" si="9"/>
        <v>0</v>
      </c>
      <c r="G111" s="61">
        <v>21000</v>
      </c>
      <c r="H111" s="51">
        <f t="shared" si="11"/>
        <v>5.0000000000000044E-2</v>
      </c>
      <c r="I111" s="61">
        <v>22000</v>
      </c>
      <c r="J111" s="51">
        <f t="shared" si="8"/>
        <v>4.7619047619047672E-2</v>
      </c>
    </row>
    <row r="112" spans="1:10" x14ac:dyDescent="0.3">
      <c r="A112" s="47"/>
      <c r="B112" s="59" t="s">
        <v>267</v>
      </c>
      <c r="C112" s="61">
        <v>0</v>
      </c>
      <c r="D112" s="61">
        <v>0</v>
      </c>
      <c r="E112" s="61">
        <v>50000</v>
      </c>
      <c r="F112" s="51"/>
      <c r="G112" s="61">
        <v>50000</v>
      </c>
      <c r="H112" s="51">
        <f t="shared" si="11"/>
        <v>0</v>
      </c>
      <c r="I112" s="61">
        <v>50000</v>
      </c>
      <c r="J112" s="51">
        <f t="shared" si="8"/>
        <v>0</v>
      </c>
    </row>
    <row r="113" spans="1:10" x14ac:dyDescent="0.3">
      <c r="A113" s="42" t="s">
        <v>244</v>
      </c>
      <c r="C113" s="16">
        <f>+C114</f>
        <v>0</v>
      </c>
      <c r="D113" s="16">
        <f>+D114</f>
        <v>0</v>
      </c>
      <c r="E113" s="16">
        <f>+E114</f>
        <v>50000</v>
      </c>
      <c r="F113" s="45"/>
      <c r="G113" s="16">
        <f>+G114</f>
        <v>50000</v>
      </c>
      <c r="H113" s="45">
        <f>+G113/E113-1</f>
        <v>0</v>
      </c>
      <c r="I113" s="16">
        <f>+I114</f>
        <v>50000</v>
      </c>
      <c r="J113" s="45">
        <f>+I113/G113-1</f>
        <v>0</v>
      </c>
    </row>
    <row r="114" spans="1:10" x14ac:dyDescent="0.3">
      <c r="A114" s="47"/>
      <c r="B114" s="59" t="s">
        <v>245</v>
      </c>
      <c r="C114" s="50">
        <v>0</v>
      </c>
      <c r="D114" s="50">
        <v>0</v>
      </c>
      <c r="E114" s="50">
        <v>50000</v>
      </c>
      <c r="F114" s="46"/>
      <c r="G114" s="50">
        <v>50000</v>
      </c>
      <c r="H114" s="51">
        <f t="shared" si="11"/>
        <v>0</v>
      </c>
      <c r="I114" s="50">
        <v>50000</v>
      </c>
      <c r="J114" s="51">
        <f t="shared" si="11"/>
        <v>0</v>
      </c>
    </row>
    <row r="115" spans="1:10" x14ac:dyDescent="0.3">
      <c r="C115" s="16"/>
      <c r="E115" s="16"/>
      <c r="G115" s="16"/>
      <c r="I115" s="16"/>
    </row>
    <row r="116" spans="1:10" x14ac:dyDescent="0.3">
      <c r="C116" s="16"/>
      <c r="E116" s="16"/>
      <c r="G116" s="16"/>
      <c r="I116" s="16"/>
    </row>
    <row r="117" spans="1:10" x14ac:dyDescent="0.3">
      <c r="C117" s="16"/>
    </row>
  </sheetData>
  <autoFilter ref="A1:J114" xr:uid="{B30922BD-C817-4163-BE4B-39DFC259BF89}"/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3E54-0AF5-4F53-9809-D68643DE9EFE}">
  <sheetPr>
    <tabColor rgb="FF92D050"/>
  </sheetPr>
  <dimension ref="A1:L14"/>
  <sheetViews>
    <sheetView workbookViewId="0">
      <selection activeCell="J1" sqref="J1"/>
    </sheetView>
  </sheetViews>
  <sheetFormatPr defaultRowHeight="14.4" x14ac:dyDescent="0.3"/>
  <cols>
    <col min="1" max="1" width="22.21875" bestFit="1" customWidth="1"/>
    <col min="2" max="2" width="5.109375" customWidth="1"/>
    <col min="3" max="3" width="22.21875" bestFit="1" customWidth="1"/>
    <col min="4" max="4" width="55.6640625" bestFit="1" customWidth="1"/>
    <col min="5" max="5" width="12.109375" bestFit="1" customWidth="1"/>
    <col min="6" max="6" width="18.21875" bestFit="1" customWidth="1"/>
    <col min="7" max="7" width="11.21875" bestFit="1" customWidth="1"/>
    <col min="8" max="8" width="7.44140625" bestFit="1" customWidth="1"/>
    <col min="9" max="9" width="17.88671875" bestFit="1" customWidth="1"/>
    <col min="10" max="10" width="8.5546875" bestFit="1" customWidth="1"/>
    <col min="11" max="11" width="17.88671875" bestFit="1" customWidth="1"/>
    <col min="12" max="12" width="7.44140625" bestFit="1" customWidth="1"/>
  </cols>
  <sheetData>
    <row r="1" spans="1:12" x14ac:dyDescent="0.3">
      <c r="A1" s="1" t="s">
        <v>265</v>
      </c>
      <c r="B1" s="14"/>
      <c r="C1" s="14"/>
      <c r="D1" s="14"/>
      <c r="E1" s="14"/>
      <c r="F1" s="95"/>
      <c r="G1" s="95"/>
      <c r="H1" s="96"/>
      <c r="I1" s="95"/>
      <c r="J1" s="96"/>
      <c r="K1" s="95"/>
      <c r="L1" s="96"/>
    </row>
    <row r="2" spans="1:12" x14ac:dyDescent="0.3">
      <c r="A2" s="1"/>
      <c r="B2" s="14"/>
      <c r="C2" s="14"/>
      <c r="D2" s="14"/>
      <c r="E2" s="14"/>
      <c r="F2" s="95"/>
      <c r="G2" s="95"/>
      <c r="H2" s="96"/>
      <c r="I2" s="95"/>
      <c r="J2" s="96"/>
      <c r="K2" s="95"/>
      <c r="L2" s="96"/>
    </row>
    <row r="3" spans="1:12" ht="20.399999999999999" x14ac:dyDescent="0.3">
      <c r="A3" s="6" t="s">
        <v>3</v>
      </c>
      <c r="B3" s="6" t="s">
        <v>4</v>
      </c>
      <c r="C3" s="6" t="s">
        <v>5</v>
      </c>
      <c r="D3" s="6" t="s">
        <v>167</v>
      </c>
      <c r="E3" s="167" t="s">
        <v>252</v>
      </c>
      <c r="F3" s="140" t="s">
        <v>253</v>
      </c>
      <c r="G3" s="140" t="s">
        <v>254</v>
      </c>
      <c r="H3" s="140" t="s">
        <v>175</v>
      </c>
      <c r="I3" s="140" t="s">
        <v>7</v>
      </c>
      <c r="J3" s="140" t="s">
        <v>176</v>
      </c>
      <c r="K3" s="140" t="s">
        <v>256</v>
      </c>
      <c r="L3" s="140" t="s">
        <v>257</v>
      </c>
    </row>
    <row r="4" spans="1:12" x14ac:dyDescent="0.3">
      <c r="A4" s="15"/>
      <c r="B4" s="15"/>
      <c r="C4" s="15"/>
      <c r="D4" s="15"/>
      <c r="E4" s="15"/>
      <c r="F4" s="95"/>
      <c r="G4" s="95"/>
      <c r="H4" s="96"/>
      <c r="I4" s="95"/>
      <c r="J4" s="96"/>
      <c r="K4" s="95"/>
      <c r="L4" s="96"/>
    </row>
    <row r="5" spans="1:12" x14ac:dyDescent="0.3">
      <c r="A5" s="12">
        <v>8</v>
      </c>
      <c r="B5" s="12"/>
      <c r="C5" s="13"/>
      <c r="D5" s="97" t="s">
        <v>20</v>
      </c>
      <c r="E5" s="97"/>
      <c r="F5" s="98"/>
      <c r="G5" s="98"/>
      <c r="H5" s="96"/>
      <c r="I5" s="98"/>
      <c r="J5" s="96"/>
      <c r="K5" s="98"/>
      <c r="L5" s="96"/>
    </row>
    <row r="6" spans="1:12" x14ac:dyDescent="0.3">
      <c r="A6" s="9"/>
      <c r="B6" s="9">
        <v>84</v>
      </c>
      <c r="C6" s="10"/>
      <c r="D6" s="97" t="s">
        <v>21</v>
      </c>
      <c r="E6" s="97"/>
      <c r="F6" s="98"/>
      <c r="G6" s="98"/>
      <c r="H6" s="96"/>
      <c r="I6" s="98"/>
      <c r="J6" s="96"/>
      <c r="K6" s="98"/>
      <c r="L6" s="96"/>
    </row>
    <row r="7" spans="1:12" x14ac:dyDescent="0.3">
      <c r="A7" s="10"/>
      <c r="B7" s="10"/>
      <c r="C7" s="10" t="s">
        <v>177</v>
      </c>
      <c r="D7" s="99" t="s">
        <v>22</v>
      </c>
      <c r="E7" s="168">
        <v>0</v>
      </c>
      <c r="F7" s="17">
        <v>130000</v>
      </c>
      <c r="G7" s="17">
        <v>0</v>
      </c>
      <c r="H7" s="100">
        <v>0</v>
      </c>
      <c r="I7" s="17">
        <v>0</v>
      </c>
      <c r="J7" s="100">
        <v>0</v>
      </c>
      <c r="K7" s="101">
        <f>+I7*'Ekonomska klasifikacija i izvor'!$L$39</f>
        <v>0</v>
      </c>
      <c r="L7" s="100">
        <v>0</v>
      </c>
    </row>
    <row r="10" spans="1:12" x14ac:dyDescent="0.3">
      <c r="D10" s="97" t="s">
        <v>178</v>
      </c>
      <c r="E10" s="97"/>
    </row>
    <row r="11" spans="1:12" x14ac:dyDescent="0.3">
      <c r="D11" s="97" t="s">
        <v>179</v>
      </c>
      <c r="E11" s="97"/>
    </row>
    <row r="12" spans="1:12" x14ac:dyDescent="0.3">
      <c r="B12" s="9">
        <v>81</v>
      </c>
      <c r="C12" s="10" t="s">
        <v>171</v>
      </c>
      <c r="D12" s="66" t="s">
        <v>146</v>
      </c>
      <c r="E12" s="169">
        <v>5500</v>
      </c>
      <c r="F12" s="17">
        <v>155000</v>
      </c>
      <c r="G12" s="17">
        <v>0</v>
      </c>
      <c r="H12" s="100">
        <v>-0.50430923806976424</v>
      </c>
      <c r="I12" s="17">
        <v>0</v>
      </c>
      <c r="J12" s="100">
        <v>-1</v>
      </c>
      <c r="K12" s="101">
        <v>0</v>
      </c>
      <c r="L12" s="100">
        <v>0</v>
      </c>
    </row>
    <row r="14" spans="1:12" x14ac:dyDescent="0.3">
      <c r="F14" s="32"/>
      <c r="G14" s="32"/>
      <c r="H14" s="141"/>
      <c r="I14" s="32"/>
      <c r="K1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072F-08BF-411B-A402-2FFCBF8582CA}">
  <sheetPr>
    <tabColor rgb="FF92D050"/>
  </sheetPr>
  <dimension ref="A1:I32"/>
  <sheetViews>
    <sheetView topLeftCell="A8" workbookViewId="0">
      <selection activeCell="F29" sqref="F29"/>
    </sheetView>
  </sheetViews>
  <sheetFormatPr defaultRowHeight="14.4" x14ac:dyDescent="0.3"/>
  <cols>
    <col min="1" max="1" width="70.77734375" bestFit="1" customWidth="1"/>
    <col min="2" max="2" width="12.88671875" bestFit="1" customWidth="1"/>
    <col min="3" max="4" width="13.109375" bestFit="1" customWidth="1"/>
    <col min="5" max="5" width="9.88671875" bestFit="1" customWidth="1"/>
    <col min="6" max="6" width="13.109375" bestFit="1" customWidth="1"/>
    <col min="7" max="7" width="9.88671875" bestFit="1" customWidth="1"/>
    <col min="8" max="8" width="13.109375" bestFit="1" customWidth="1"/>
    <col min="9" max="9" width="9.88671875" bestFit="1" customWidth="1"/>
  </cols>
  <sheetData>
    <row r="1" spans="1:9" x14ac:dyDescent="0.3">
      <c r="A1" s="212" t="s">
        <v>124</v>
      </c>
      <c r="B1" s="154"/>
      <c r="C1" s="32"/>
      <c r="D1" s="33"/>
      <c r="E1" s="34" t="s">
        <v>23</v>
      </c>
      <c r="F1" s="32"/>
      <c r="G1" s="34" t="s">
        <v>23</v>
      </c>
      <c r="H1" s="32"/>
      <c r="I1" s="34" t="s">
        <v>23</v>
      </c>
    </row>
    <row r="2" spans="1:9" x14ac:dyDescent="0.3">
      <c r="A2" s="212"/>
      <c r="B2" s="37" t="s">
        <v>24</v>
      </c>
      <c r="C2" s="37" t="s">
        <v>25</v>
      </c>
      <c r="D2" s="37" t="s">
        <v>26</v>
      </c>
      <c r="E2" s="38" t="s">
        <v>27</v>
      </c>
      <c r="F2" s="37" t="s">
        <v>28</v>
      </c>
      <c r="G2" s="38" t="s">
        <v>29</v>
      </c>
      <c r="H2" s="37" t="s">
        <v>259</v>
      </c>
      <c r="I2" s="38" t="s">
        <v>260</v>
      </c>
    </row>
    <row r="3" spans="1:9" ht="17.399999999999999" customHeight="1" x14ac:dyDescent="0.3">
      <c r="A3" s="41" t="s">
        <v>32</v>
      </c>
      <c r="B3" s="158">
        <f>+SUM(B4:B6)</f>
        <v>599223.52</v>
      </c>
      <c r="C3" s="158">
        <f>+SUM(C4:C6)</f>
        <v>1242900</v>
      </c>
      <c r="D3" s="158">
        <f>+SUM(D4:D6)</f>
        <v>1122370</v>
      </c>
      <c r="E3" s="44">
        <f>+D3/C3-1</f>
        <v>-9.697481696033472E-2</v>
      </c>
      <c r="F3" s="158">
        <f>+SUM(F4:F6)</f>
        <v>1143933</v>
      </c>
      <c r="G3" s="34">
        <f>+F3/D3-1</f>
        <v>1.9212024555182339E-2</v>
      </c>
      <c r="H3" s="158">
        <f>+SUM(H4:H6)</f>
        <v>958795</v>
      </c>
      <c r="I3" s="34">
        <f>+H3/F3-1</f>
        <v>-0.16184339467433839</v>
      </c>
    </row>
    <row r="4" spans="1:9" x14ac:dyDescent="0.3">
      <c r="A4" s="54" t="s">
        <v>203</v>
      </c>
      <c r="B4" s="85">
        <v>6427.8</v>
      </c>
      <c r="C4" s="85">
        <v>13500</v>
      </c>
      <c r="D4" s="156">
        <v>13500</v>
      </c>
      <c r="E4" s="45">
        <f t="shared" ref="E4:E29" si="0">+D4/C4-1</f>
        <v>0</v>
      </c>
      <c r="F4" s="156">
        <v>14175</v>
      </c>
      <c r="G4" s="55">
        <f t="shared" ref="G4:G6" si="1">+F4/D4-1</f>
        <v>5.0000000000000044E-2</v>
      </c>
      <c r="H4" s="156">
        <v>14850</v>
      </c>
      <c r="I4" s="55">
        <f t="shared" ref="I4:I6" si="2">+H4/F4-1</f>
        <v>4.7619047619047672E-2</v>
      </c>
    </row>
    <row r="5" spans="1:9" x14ac:dyDescent="0.3">
      <c r="A5" s="54" t="s">
        <v>204</v>
      </c>
      <c r="B5" s="156">
        <v>414028.24</v>
      </c>
      <c r="C5" s="156">
        <v>873900</v>
      </c>
      <c r="D5" s="156">
        <v>751595</v>
      </c>
      <c r="E5" s="45">
        <f t="shared" si="0"/>
        <v>-0.13995308387687377</v>
      </c>
      <c r="F5" s="156">
        <v>772483</v>
      </c>
      <c r="G5" s="55">
        <f t="shared" si="1"/>
        <v>2.7791563275434195E-2</v>
      </c>
      <c r="H5" s="156">
        <v>744895</v>
      </c>
      <c r="I5" s="55">
        <f t="shared" si="2"/>
        <v>-3.5713407285338339E-2</v>
      </c>
    </row>
    <row r="6" spans="1:9" x14ac:dyDescent="0.3">
      <c r="A6" s="54" t="s">
        <v>205</v>
      </c>
      <c r="B6" s="156">
        <v>178767.47999999998</v>
      </c>
      <c r="C6" s="156">
        <v>355500</v>
      </c>
      <c r="D6" s="156">
        <v>357275</v>
      </c>
      <c r="E6" s="45">
        <f t="shared" si="0"/>
        <v>4.9929676511955012E-3</v>
      </c>
      <c r="F6" s="156">
        <v>357275</v>
      </c>
      <c r="G6" s="55">
        <f t="shared" si="1"/>
        <v>0</v>
      </c>
      <c r="H6" s="156">
        <f>+'Posebni dio'!M83</f>
        <v>199050</v>
      </c>
      <c r="I6" s="55">
        <f t="shared" si="2"/>
        <v>-0.4428661395283745</v>
      </c>
    </row>
    <row r="7" spans="1:9" x14ac:dyDescent="0.3">
      <c r="A7" s="41" t="s">
        <v>48</v>
      </c>
      <c r="B7" s="158">
        <f>+B8</f>
        <v>56686.82</v>
      </c>
      <c r="C7" s="158">
        <f>+C8</f>
        <v>88400</v>
      </c>
      <c r="D7" s="158">
        <f>+D8</f>
        <v>97020</v>
      </c>
      <c r="E7" s="44">
        <f>+D7/C7-1</f>
        <v>9.7511312217194668E-2</v>
      </c>
      <c r="F7" s="158">
        <f>+F8</f>
        <v>97020</v>
      </c>
      <c r="G7" s="34">
        <f>+F7/D7-1</f>
        <v>0</v>
      </c>
      <c r="H7" s="158">
        <f>+H8</f>
        <v>97240</v>
      </c>
      <c r="I7" s="34">
        <f>+H7/F7-1</f>
        <v>2.2675736961450532E-3</v>
      </c>
    </row>
    <row r="8" spans="1:9" x14ac:dyDescent="0.3">
      <c r="A8" s="54" t="s">
        <v>206</v>
      </c>
      <c r="B8" s="156">
        <f>+'Posebni dio'!G58</f>
        <v>56686.82</v>
      </c>
      <c r="C8" s="156">
        <f>+'Posebni dio'!H58</f>
        <v>88400</v>
      </c>
      <c r="D8" s="156">
        <f>+'Posebni dio'!I58</f>
        <v>97020</v>
      </c>
      <c r="E8" s="45">
        <f t="shared" si="0"/>
        <v>9.7511312217194668E-2</v>
      </c>
      <c r="F8" s="156">
        <f>+'Posebni dio'!K58</f>
        <v>97020</v>
      </c>
      <c r="G8" s="55">
        <f t="shared" ref="G8" si="3">+F8/D8-1</f>
        <v>0</v>
      </c>
      <c r="H8" s="156">
        <f>+'Posebni dio'!M58</f>
        <v>97240</v>
      </c>
      <c r="I8" s="55">
        <f t="shared" ref="I8" si="4">+H8/F8-1</f>
        <v>2.2675736961450532E-3</v>
      </c>
    </row>
    <row r="9" spans="1:9" x14ac:dyDescent="0.3">
      <c r="A9" s="41" t="s">
        <v>63</v>
      </c>
      <c r="B9" s="158">
        <f>+SUM(B10:B14)</f>
        <v>778428.16</v>
      </c>
      <c r="C9" s="158">
        <f>+SUM(C10:C14)</f>
        <v>1448000</v>
      </c>
      <c r="D9" s="158">
        <f>+SUM(D10:D14)</f>
        <v>1530550</v>
      </c>
      <c r="E9" s="44">
        <f>+D9/C9-1</f>
        <v>5.7009668508287259E-2</v>
      </c>
      <c r="F9" s="158">
        <f>+SUM(F10:F14)</f>
        <v>1530550</v>
      </c>
      <c r="G9" s="34">
        <f>+F9/D9-1</f>
        <v>0</v>
      </c>
      <c r="H9" s="158">
        <f>+SUM(H10:H14)</f>
        <v>1580600</v>
      </c>
      <c r="I9" s="34">
        <f>+H9/F9-1</f>
        <v>3.2700663160301957E-2</v>
      </c>
    </row>
    <row r="10" spans="1:9" x14ac:dyDescent="0.3">
      <c r="A10" s="54" t="s">
        <v>207</v>
      </c>
      <c r="B10" s="156">
        <f>+'Posebni dio'!G90</f>
        <v>527520.42000000004</v>
      </c>
      <c r="C10" s="156">
        <f>+'Posebni dio'!H90</f>
        <v>438000</v>
      </c>
      <c r="D10" s="156">
        <f>+'Posebni dio'!I90</f>
        <v>222900</v>
      </c>
      <c r="E10" s="45">
        <f t="shared" si="0"/>
        <v>-0.49109589041095891</v>
      </c>
      <c r="F10" s="156">
        <f>+'Posebni dio'!K90</f>
        <v>222900</v>
      </c>
      <c r="G10" s="55">
        <f t="shared" ref="G10:G14" si="5">+F10/D10-1</f>
        <v>0</v>
      </c>
      <c r="H10" s="156">
        <f>+'Posebni dio'!M90</f>
        <v>577800</v>
      </c>
      <c r="I10" s="55">
        <f t="shared" ref="I10:I14" si="6">+H10/F10-1</f>
        <v>1.5921938088829073</v>
      </c>
    </row>
    <row r="11" spans="1:9" x14ac:dyDescent="0.3">
      <c r="A11" s="75" t="s">
        <v>208</v>
      </c>
      <c r="B11" s="156">
        <f>+'Posebni dio'!G105</f>
        <v>26008.589999999997</v>
      </c>
      <c r="C11" s="156">
        <f>+'Posebni dio'!H105</f>
        <v>215000</v>
      </c>
      <c r="D11" s="156">
        <f>+'Posebni dio'!I105</f>
        <v>230000</v>
      </c>
      <c r="E11" s="45">
        <f t="shared" si="0"/>
        <v>6.9767441860465018E-2</v>
      </c>
      <c r="F11" s="156">
        <f>+'Posebni dio'!K105</f>
        <v>230000</v>
      </c>
      <c r="G11" s="55">
        <f t="shared" si="5"/>
        <v>0</v>
      </c>
      <c r="H11" s="156">
        <f>+'Posebni dio'!M105</f>
        <v>236500</v>
      </c>
      <c r="I11" s="55">
        <f t="shared" si="6"/>
        <v>2.8260869565217339E-2</v>
      </c>
    </row>
    <row r="12" spans="1:9" x14ac:dyDescent="0.3">
      <c r="A12" s="54" t="s">
        <v>209</v>
      </c>
      <c r="B12" s="156">
        <f>+'Posebni dio'!G114</f>
        <v>138136.65</v>
      </c>
      <c r="C12" s="156">
        <f>+'Posebni dio'!H114</f>
        <v>309000</v>
      </c>
      <c r="D12" s="156">
        <f>+'Posebni dio'!I114</f>
        <v>232350</v>
      </c>
      <c r="E12" s="45">
        <f t="shared" si="0"/>
        <v>-0.24805825242718449</v>
      </c>
      <c r="F12" s="156">
        <f>+'Posebni dio'!K114</f>
        <v>232350</v>
      </c>
      <c r="G12" s="55">
        <f t="shared" si="5"/>
        <v>0</v>
      </c>
      <c r="H12" s="156">
        <f>+'Posebni dio'!M114</f>
        <v>231700</v>
      </c>
      <c r="I12" s="55">
        <f t="shared" si="6"/>
        <v>-2.7975037658704016E-3</v>
      </c>
    </row>
    <row r="13" spans="1:9" x14ac:dyDescent="0.3">
      <c r="A13" s="54" t="s">
        <v>210</v>
      </c>
      <c r="B13" s="85">
        <f>+'Posebni dio'!G127</f>
        <v>59915</v>
      </c>
      <c r="C13" s="85">
        <f>+'Posebni dio'!H127</f>
        <v>341000</v>
      </c>
      <c r="D13" s="85">
        <v>498050</v>
      </c>
      <c r="E13" s="45">
        <f t="shared" si="0"/>
        <v>0.46055718475073304</v>
      </c>
      <c r="F13" s="85">
        <f>+'Posebni dio'!K127</f>
        <v>498050</v>
      </c>
      <c r="G13" s="55">
        <f t="shared" si="5"/>
        <v>0</v>
      </c>
      <c r="H13" s="85">
        <f>+'Posebni dio'!M127</f>
        <v>375100</v>
      </c>
      <c r="I13" s="55">
        <f t="shared" si="6"/>
        <v>-0.24686276478265234</v>
      </c>
    </row>
    <row r="14" spans="1:9" x14ac:dyDescent="0.3">
      <c r="A14" s="54" t="s">
        <v>211</v>
      </c>
      <c r="B14" s="85">
        <f>+'Posebni dio'!G140</f>
        <v>26847.5</v>
      </c>
      <c r="C14" s="85">
        <f>+'Posebni dio'!H140</f>
        <v>145000</v>
      </c>
      <c r="D14" s="85">
        <v>347250</v>
      </c>
      <c r="E14" s="45">
        <f t="shared" si="0"/>
        <v>1.3948275862068966</v>
      </c>
      <c r="F14" s="85">
        <f>+'Posebni dio'!K140</f>
        <v>347250</v>
      </c>
      <c r="G14" s="55">
        <f t="shared" si="5"/>
        <v>0</v>
      </c>
      <c r="H14" s="85">
        <f>+'Posebni dio'!M140</f>
        <v>159500</v>
      </c>
      <c r="I14" s="55">
        <f t="shared" si="6"/>
        <v>-0.54067674586033121</v>
      </c>
    </row>
    <row r="15" spans="1:9" x14ac:dyDescent="0.3">
      <c r="A15" s="41" t="s">
        <v>89</v>
      </c>
      <c r="B15" s="157">
        <f>+B16</f>
        <v>48944.74</v>
      </c>
      <c r="C15" s="157">
        <f>+C16</f>
        <v>131400</v>
      </c>
      <c r="D15" s="157">
        <f>+D16</f>
        <v>162770</v>
      </c>
      <c r="E15" s="44">
        <f>+D15/C15-1</f>
        <v>0.23873668188736685</v>
      </c>
      <c r="F15" s="157">
        <f>+F16</f>
        <v>167150</v>
      </c>
      <c r="G15" s="34">
        <f>+F15/D15-1</f>
        <v>2.6909135590096556E-2</v>
      </c>
      <c r="H15" s="157">
        <f>+H16</f>
        <v>174265</v>
      </c>
      <c r="I15" s="34">
        <f>+H15/F15-1</f>
        <v>4.2566556984744208E-2</v>
      </c>
    </row>
    <row r="16" spans="1:9" x14ac:dyDescent="0.3">
      <c r="A16" s="75" t="s">
        <v>212</v>
      </c>
      <c r="B16" s="85">
        <f>+'Posebni dio'!G158</f>
        <v>48944.74</v>
      </c>
      <c r="C16" s="85">
        <f>+'Posebni dio'!H158</f>
        <v>131400</v>
      </c>
      <c r="D16" s="85">
        <f>+'Posebni dio'!I158</f>
        <v>162770</v>
      </c>
      <c r="E16" s="45">
        <f t="shared" si="0"/>
        <v>0.23873668188736685</v>
      </c>
      <c r="F16" s="85">
        <f>+'Posebni dio'!K158</f>
        <v>167150</v>
      </c>
      <c r="G16" s="55">
        <f t="shared" ref="G16" si="7">+F16/D16-1</f>
        <v>2.6909135590096556E-2</v>
      </c>
      <c r="H16" s="85">
        <f>+'Posebni dio'!M158</f>
        <v>174265</v>
      </c>
      <c r="I16" s="55">
        <f t="shared" ref="I16" si="8">+H16/F16-1</f>
        <v>4.2566556984744208E-2</v>
      </c>
    </row>
    <row r="17" spans="1:9" x14ac:dyDescent="0.3">
      <c r="A17" s="41" t="s">
        <v>84</v>
      </c>
      <c r="B17" s="157">
        <f>+B18</f>
        <v>69742.510000000009</v>
      </c>
      <c r="C17" s="157">
        <f>+C18</f>
        <v>140000</v>
      </c>
      <c r="D17" s="157">
        <f>+D18</f>
        <v>140000</v>
      </c>
      <c r="E17" s="44">
        <f>+D17/C17-1</f>
        <v>0</v>
      </c>
      <c r="F17" s="157">
        <f>+F18</f>
        <v>140000</v>
      </c>
      <c r="G17" s="34">
        <f>+F17/D17-1</f>
        <v>0</v>
      </c>
      <c r="H17" s="157">
        <f>+H18</f>
        <v>140000</v>
      </c>
      <c r="I17" s="34">
        <f>+H17/F17-1</f>
        <v>0</v>
      </c>
    </row>
    <row r="18" spans="1:9" x14ac:dyDescent="0.3">
      <c r="A18" s="75" t="s">
        <v>213</v>
      </c>
      <c r="B18" s="85">
        <f>+'Posebni dio'!G149</f>
        <v>69742.510000000009</v>
      </c>
      <c r="C18" s="85">
        <f>+'Posebni dio'!H149</f>
        <v>140000</v>
      </c>
      <c r="D18" s="85">
        <f>+'Posebni dio'!I149</f>
        <v>140000</v>
      </c>
      <c r="E18" s="45">
        <f t="shared" si="0"/>
        <v>0</v>
      </c>
      <c r="F18" s="85">
        <f>+'Posebni dio'!K149</f>
        <v>140000</v>
      </c>
      <c r="G18" s="55">
        <f t="shared" ref="G18" si="9">+F18/D18-1</f>
        <v>0</v>
      </c>
      <c r="H18" s="85">
        <f>+'Posebni dio'!M149</f>
        <v>140000</v>
      </c>
      <c r="I18" s="55">
        <f t="shared" ref="I18" si="10">+H18/F18-1</f>
        <v>0</v>
      </c>
    </row>
    <row r="19" spans="1:9" x14ac:dyDescent="0.3">
      <c r="A19" s="41" t="s">
        <v>99</v>
      </c>
      <c r="B19" s="157">
        <f>+SUM(B20:B23)</f>
        <v>46236.43</v>
      </c>
      <c r="C19" s="157">
        <f>+SUM(C20:C23)</f>
        <v>149900</v>
      </c>
      <c r="D19" s="157">
        <f>+SUM(D20:D23)</f>
        <v>301100</v>
      </c>
      <c r="E19" s="44">
        <f>+D19/C19-1</f>
        <v>1.0086724482988658</v>
      </c>
      <c r="F19" s="157">
        <f>+SUM(F20:F23)</f>
        <v>281600</v>
      </c>
      <c r="G19" s="34">
        <f>+F19/D19-1</f>
        <v>-6.4762537363002304E-2</v>
      </c>
      <c r="H19" s="157">
        <f>+SUM(H20:H23)</f>
        <v>250200</v>
      </c>
      <c r="I19" s="34">
        <f>+H19/F19-1</f>
        <v>-0.11150568181818177</v>
      </c>
    </row>
    <row r="20" spans="1:9" x14ac:dyDescent="0.3">
      <c r="A20" s="54" t="s">
        <v>214</v>
      </c>
      <c r="B20" s="85">
        <f>+'Posebni dio'!G182</f>
        <v>19029.03</v>
      </c>
      <c r="C20" s="85">
        <f>+'Posebni dio'!H182</f>
        <v>103400</v>
      </c>
      <c r="D20" s="85">
        <f>+'Posebni dio'!I182</f>
        <v>144600</v>
      </c>
      <c r="E20" s="45">
        <f t="shared" si="0"/>
        <v>0.39845261121856868</v>
      </c>
      <c r="F20" s="85">
        <f>+'Posebni dio'!K182</f>
        <v>145100</v>
      </c>
      <c r="G20" s="55">
        <f t="shared" ref="G20:G23" si="11">+F20/D20-1</f>
        <v>3.4578146611341509E-3</v>
      </c>
      <c r="H20" s="85">
        <f>+'Posebni dio'!M182</f>
        <v>112200</v>
      </c>
      <c r="I20" s="55">
        <f t="shared" ref="I20:I23" si="12">+H20/F20-1</f>
        <v>-0.2267401791867677</v>
      </c>
    </row>
    <row r="21" spans="1:9" x14ac:dyDescent="0.3">
      <c r="A21" s="54" t="s">
        <v>215</v>
      </c>
      <c r="B21" s="85">
        <f>+'Posebni dio'!G195</f>
        <v>3300</v>
      </c>
      <c r="C21" s="85">
        <f>+'Posebni dio'!H195</f>
        <v>10000</v>
      </c>
      <c r="D21" s="85">
        <f>+'Posebni dio'!I195</f>
        <v>45000</v>
      </c>
      <c r="E21" s="45">
        <f t="shared" si="0"/>
        <v>3.5</v>
      </c>
      <c r="F21" s="85">
        <f>+'Posebni dio'!K195</f>
        <v>25000</v>
      </c>
      <c r="G21" s="55">
        <f t="shared" si="11"/>
        <v>-0.44444444444444442</v>
      </c>
      <c r="H21" s="85">
        <f>+'Posebni dio'!M195</f>
        <v>25000</v>
      </c>
      <c r="I21" s="55">
        <f t="shared" si="12"/>
        <v>0</v>
      </c>
    </row>
    <row r="22" spans="1:9" x14ac:dyDescent="0.3">
      <c r="A22" s="54" t="s">
        <v>216</v>
      </c>
      <c r="B22" s="85">
        <f>+'Posebni dio'!G200</f>
        <v>23907.4</v>
      </c>
      <c r="C22" s="85">
        <f>+'Posebni dio'!H200</f>
        <v>36500</v>
      </c>
      <c r="D22" s="85">
        <f>+'Posebni dio'!I200</f>
        <v>61500</v>
      </c>
      <c r="E22" s="45">
        <f t="shared" si="0"/>
        <v>0.68493150684931514</v>
      </c>
      <c r="F22" s="85">
        <f>+'Posebni dio'!K200</f>
        <v>61500</v>
      </c>
      <c r="G22" s="55">
        <f t="shared" si="11"/>
        <v>0</v>
      </c>
      <c r="H22" s="85">
        <f>+'Posebni dio'!M200</f>
        <v>63000</v>
      </c>
      <c r="I22" s="55">
        <f t="shared" si="12"/>
        <v>2.4390243902439046E-2</v>
      </c>
    </row>
    <row r="23" spans="1:9" x14ac:dyDescent="0.3">
      <c r="A23" s="54" t="s">
        <v>263</v>
      </c>
      <c r="B23" s="85">
        <f>+'Posebni dio'!G233</f>
        <v>0</v>
      </c>
      <c r="C23" s="85">
        <f>+'Posebni dio'!H233</f>
        <v>0</v>
      </c>
      <c r="D23" s="85">
        <f>+'Posebni dio'!I233</f>
        <v>50000</v>
      </c>
      <c r="E23" s="45"/>
      <c r="F23" s="85">
        <f>+'Posebni dio'!K233</f>
        <v>50000</v>
      </c>
      <c r="G23" s="55">
        <f t="shared" si="11"/>
        <v>0</v>
      </c>
      <c r="H23" s="85">
        <f>+'Posebni dio'!M233</f>
        <v>50000</v>
      </c>
      <c r="I23" s="55">
        <f t="shared" si="12"/>
        <v>0</v>
      </c>
    </row>
    <row r="24" spans="1:9" x14ac:dyDescent="0.3">
      <c r="A24" s="41" t="s">
        <v>109</v>
      </c>
      <c r="B24" s="157">
        <f>+B25</f>
        <v>185049.83000000002</v>
      </c>
      <c r="C24" s="157">
        <f>+C25</f>
        <v>403000</v>
      </c>
      <c r="D24" s="157">
        <f>+D25</f>
        <v>384650</v>
      </c>
      <c r="E24" s="44">
        <f>+D24/C24-1</f>
        <v>-4.5533498759305235E-2</v>
      </c>
      <c r="F24" s="157">
        <f>+F25</f>
        <v>389700</v>
      </c>
      <c r="G24" s="34">
        <f>+F24/D24-1</f>
        <v>1.312881840634339E-2</v>
      </c>
      <c r="H24" s="157">
        <f>+H25</f>
        <v>413300</v>
      </c>
      <c r="I24" s="34">
        <f>+H24/F24-1</f>
        <v>6.0559404670259109E-2</v>
      </c>
    </row>
    <row r="25" spans="1:9" x14ac:dyDescent="0.3">
      <c r="A25" s="54" t="s">
        <v>217</v>
      </c>
      <c r="B25" s="85">
        <f>+'Posebni dio'!G205</f>
        <v>185049.83000000002</v>
      </c>
      <c r="C25" s="85">
        <f>+'Posebni dio'!H205</f>
        <v>403000</v>
      </c>
      <c r="D25" s="85">
        <f>+'Posebni dio'!I205</f>
        <v>384650</v>
      </c>
      <c r="E25" s="45">
        <f t="shared" si="0"/>
        <v>-4.5533498759305235E-2</v>
      </c>
      <c r="F25" s="85">
        <f>+'Posebni dio'!K205</f>
        <v>389700</v>
      </c>
      <c r="G25" s="55">
        <f t="shared" ref="G25" si="13">+F25/D25-1</f>
        <v>1.312881840634339E-2</v>
      </c>
      <c r="H25" s="85">
        <f>+'Posebni dio'!M205</f>
        <v>413300</v>
      </c>
      <c r="I25" s="55">
        <f t="shared" ref="I25" si="14">+H25/F25-1</f>
        <v>6.0559404670259109E-2</v>
      </c>
    </row>
    <row r="26" spans="1:9" x14ac:dyDescent="0.3">
      <c r="A26" s="41" t="s">
        <v>116</v>
      </c>
      <c r="B26" s="157">
        <f>+B27</f>
        <v>51357.25</v>
      </c>
      <c r="C26" s="157">
        <f>+C27</f>
        <v>87500</v>
      </c>
      <c r="D26" s="157">
        <f>+D27</f>
        <v>140875</v>
      </c>
      <c r="E26" s="44">
        <f>+D26/C26-1</f>
        <v>0.6100000000000001</v>
      </c>
      <c r="F26" s="157">
        <f>+F27</f>
        <v>142350</v>
      </c>
      <c r="G26" s="34">
        <f>+F26/D26-1</f>
        <v>1.0470275066548407E-2</v>
      </c>
      <c r="H26" s="157">
        <f>+H27</f>
        <v>146250</v>
      </c>
      <c r="I26" s="34">
        <f>+H26/F26-1</f>
        <v>2.7397260273972712E-2</v>
      </c>
    </row>
    <row r="27" spans="1:9" x14ac:dyDescent="0.3">
      <c r="A27" s="54" t="s">
        <v>218</v>
      </c>
      <c r="B27" s="85">
        <f>+'Posebni dio'!G218</f>
        <v>51357.25</v>
      </c>
      <c r="C27" s="85">
        <f>+'Posebni dio'!H218</f>
        <v>87500</v>
      </c>
      <c r="D27" s="85">
        <f>+'Posebni dio'!I218</f>
        <v>140875</v>
      </c>
      <c r="E27" s="45">
        <f t="shared" si="0"/>
        <v>0.6100000000000001</v>
      </c>
      <c r="F27" s="85">
        <f>+'Posebni dio'!K218</f>
        <v>142350</v>
      </c>
      <c r="G27" s="55">
        <f t="shared" ref="G27:G29" si="15">+F27/D27-1</f>
        <v>1.0470275066548407E-2</v>
      </c>
      <c r="H27" s="85">
        <f>+'Posebni dio'!M218</f>
        <v>146250</v>
      </c>
      <c r="I27" s="55">
        <f t="shared" ref="I27:I29" si="16">+H27/F27-1</f>
        <v>2.7397260273972712E-2</v>
      </c>
    </row>
    <row r="29" spans="1:9" x14ac:dyDescent="0.3">
      <c r="A29" t="s">
        <v>125</v>
      </c>
      <c r="B29" s="32">
        <f>+B3+B7+B9+B15+B17+B19+B24+B26</f>
        <v>1835669.26</v>
      </c>
      <c r="C29" s="32">
        <f>+C3+C7+C9+C15+C17+C19+C24+C26</f>
        <v>3691100</v>
      </c>
      <c r="D29" s="32">
        <f>+D3+D7+D9+D15+D17+D19+D24+D26</f>
        <v>3879335</v>
      </c>
      <c r="E29" s="44">
        <f t="shared" si="0"/>
        <v>5.0996992766384031E-2</v>
      </c>
      <c r="F29" s="32">
        <f>+F3+F7+F9+F15+F17+F19+F24+F26</f>
        <v>3892303</v>
      </c>
      <c r="G29" s="34">
        <f t="shared" si="15"/>
        <v>3.3428409766107503E-3</v>
      </c>
      <c r="H29" s="32">
        <f>+H3+H7+H9+H15+H17+H19+H24+H26</f>
        <v>3760650</v>
      </c>
      <c r="I29" s="34">
        <f t="shared" si="16"/>
        <v>-3.3823934056521288E-2</v>
      </c>
    </row>
    <row r="31" spans="1:9" x14ac:dyDescent="0.3">
      <c r="C31" s="16"/>
      <c r="D31" s="16"/>
      <c r="F31" s="16"/>
      <c r="H31" s="16"/>
    </row>
    <row r="32" spans="1:9" x14ac:dyDescent="0.3">
      <c r="D32" s="16"/>
      <c r="F32" s="16"/>
      <c r="H32" s="16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DCCF-E3F2-422F-8755-0D7458E4CF68}">
  <sheetPr>
    <tabColor rgb="FF92D050"/>
    <pageSetUpPr fitToPage="1"/>
  </sheetPr>
  <dimension ref="A2:U252"/>
  <sheetViews>
    <sheetView topLeftCell="B1" workbookViewId="0">
      <pane ySplit="12" topLeftCell="A236" activePane="bottomLeft" state="frozen"/>
      <selection pane="bottomLeft" activeCell="M244" sqref="M244"/>
    </sheetView>
  </sheetViews>
  <sheetFormatPr defaultRowHeight="14.4" x14ac:dyDescent="0.3"/>
  <cols>
    <col min="1" max="1" width="26.33203125" style="87" customWidth="1"/>
    <col min="2" max="2" width="3.88671875" style="23" customWidth="1"/>
    <col min="3" max="3" width="1.44140625" style="23" customWidth="1"/>
    <col min="4" max="5" width="4.6640625" style="23" customWidth="1"/>
    <col min="6" max="6" width="67.5546875" customWidth="1"/>
    <col min="7" max="7" width="25.33203125" style="25" customWidth="1"/>
    <col min="8" max="8" width="19" style="16" customWidth="1"/>
    <col min="9" max="9" width="19" customWidth="1"/>
    <col min="10" max="10" width="14" style="30" bestFit="1" customWidth="1"/>
    <col min="11" max="11" width="16.33203125" style="16" customWidth="1"/>
    <col min="12" max="12" width="12" style="31" bestFit="1" customWidth="1"/>
    <col min="13" max="13" width="12.5546875" bestFit="1" customWidth="1"/>
    <col min="14" max="14" width="12.88671875" bestFit="1" customWidth="1"/>
    <col min="15" max="16" width="16.5546875" style="22" customWidth="1"/>
    <col min="17" max="17" width="11.33203125" bestFit="1" customWidth="1"/>
    <col min="254" max="254" width="2.88671875" customWidth="1"/>
    <col min="255" max="256" width="3.88671875" customWidth="1"/>
    <col min="257" max="257" width="1.44140625" customWidth="1"/>
    <col min="258" max="259" width="4.6640625" customWidth="1"/>
    <col min="260" max="260" width="67.5546875" customWidth="1"/>
    <col min="261" max="263" width="0" hidden="1" customWidth="1"/>
    <col min="264" max="265" width="19" customWidth="1"/>
    <col min="266" max="266" width="10" customWidth="1"/>
    <col min="267" max="267" width="16.33203125" customWidth="1"/>
    <col min="268" max="268" width="11.6640625" bestFit="1" customWidth="1"/>
    <col min="269" max="269" width="12.5546875" bestFit="1" customWidth="1"/>
    <col min="270" max="270" width="9.88671875" bestFit="1" customWidth="1"/>
    <col min="271" max="272" width="16.5546875" customWidth="1"/>
    <col min="510" max="510" width="2.88671875" customWidth="1"/>
    <col min="511" max="512" width="3.88671875" customWidth="1"/>
    <col min="513" max="513" width="1.44140625" customWidth="1"/>
    <col min="514" max="515" width="4.6640625" customWidth="1"/>
    <col min="516" max="516" width="67.5546875" customWidth="1"/>
    <col min="517" max="519" width="0" hidden="1" customWidth="1"/>
    <col min="520" max="521" width="19" customWidth="1"/>
    <col min="522" max="522" width="10" customWidth="1"/>
    <col min="523" max="523" width="16.33203125" customWidth="1"/>
    <col min="524" max="524" width="11.6640625" bestFit="1" customWidth="1"/>
    <col min="525" max="525" width="12.5546875" bestFit="1" customWidth="1"/>
    <col min="526" max="526" width="9.88671875" bestFit="1" customWidth="1"/>
    <col min="527" max="528" width="16.5546875" customWidth="1"/>
    <col min="766" max="766" width="2.88671875" customWidth="1"/>
    <col min="767" max="768" width="3.88671875" customWidth="1"/>
    <col min="769" max="769" width="1.44140625" customWidth="1"/>
    <col min="770" max="771" width="4.6640625" customWidth="1"/>
    <col min="772" max="772" width="67.5546875" customWidth="1"/>
    <col min="773" max="775" width="0" hidden="1" customWidth="1"/>
    <col min="776" max="777" width="19" customWidth="1"/>
    <col min="778" max="778" width="10" customWidth="1"/>
    <col min="779" max="779" width="16.33203125" customWidth="1"/>
    <col min="780" max="780" width="11.6640625" bestFit="1" customWidth="1"/>
    <col min="781" max="781" width="12.5546875" bestFit="1" customWidth="1"/>
    <col min="782" max="782" width="9.88671875" bestFit="1" customWidth="1"/>
    <col min="783" max="784" width="16.5546875" customWidth="1"/>
    <col min="1022" max="1022" width="2.88671875" customWidth="1"/>
    <col min="1023" max="1024" width="3.88671875" customWidth="1"/>
    <col min="1025" max="1025" width="1.44140625" customWidth="1"/>
    <col min="1026" max="1027" width="4.6640625" customWidth="1"/>
    <col min="1028" max="1028" width="67.5546875" customWidth="1"/>
    <col min="1029" max="1031" width="0" hidden="1" customWidth="1"/>
    <col min="1032" max="1033" width="19" customWidth="1"/>
    <col min="1034" max="1034" width="10" customWidth="1"/>
    <col min="1035" max="1035" width="16.33203125" customWidth="1"/>
    <col min="1036" max="1036" width="11.6640625" bestFit="1" customWidth="1"/>
    <col min="1037" max="1037" width="12.5546875" bestFit="1" customWidth="1"/>
    <col min="1038" max="1038" width="9.88671875" bestFit="1" customWidth="1"/>
    <col min="1039" max="1040" width="16.5546875" customWidth="1"/>
    <col min="1278" max="1278" width="2.88671875" customWidth="1"/>
    <col min="1279" max="1280" width="3.88671875" customWidth="1"/>
    <col min="1281" max="1281" width="1.44140625" customWidth="1"/>
    <col min="1282" max="1283" width="4.6640625" customWidth="1"/>
    <col min="1284" max="1284" width="67.5546875" customWidth="1"/>
    <col min="1285" max="1287" width="0" hidden="1" customWidth="1"/>
    <col min="1288" max="1289" width="19" customWidth="1"/>
    <col min="1290" max="1290" width="10" customWidth="1"/>
    <col min="1291" max="1291" width="16.33203125" customWidth="1"/>
    <col min="1292" max="1292" width="11.6640625" bestFit="1" customWidth="1"/>
    <col min="1293" max="1293" width="12.5546875" bestFit="1" customWidth="1"/>
    <col min="1294" max="1294" width="9.88671875" bestFit="1" customWidth="1"/>
    <col min="1295" max="1296" width="16.5546875" customWidth="1"/>
    <col min="1534" max="1534" width="2.88671875" customWidth="1"/>
    <col min="1535" max="1536" width="3.88671875" customWidth="1"/>
    <col min="1537" max="1537" width="1.44140625" customWidth="1"/>
    <col min="1538" max="1539" width="4.6640625" customWidth="1"/>
    <col min="1540" max="1540" width="67.5546875" customWidth="1"/>
    <col min="1541" max="1543" width="0" hidden="1" customWidth="1"/>
    <col min="1544" max="1545" width="19" customWidth="1"/>
    <col min="1546" max="1546" width="10" customWidth="1"/>
    <col min="1547" max="1547" width="16.33203125" customWidth="1"/>
    <col min="1548" max="1548" width="11.6640625" bestFit="1" customWidth="1"/>
    <col min="1549" max="1549" width="12.5546875" bestFit="1" customWidth="1"/>
    <col min="1550" max="1550" width="9.88671875" bestFit="1" customWidth="1"/>
    <col min="1551" max="1552" width="16.5546875" customWidth="1"/>
    <col min="1790" max="1790" width="2.88671875" customWidth="1"/>
    <col min="1791" max="1792" width="3.88671875" customWidth="1"/>
    <col min="1793" max="1793" width="1.44140625" customWidth="1"/>
    <col min="1794" max="1795" width="4.6640625" customWidth="1"/>
    <col min="1796" max="1796" width="67.5546875" customWidth="1"/>
    <col min="1797" max="1799" width="0" hidden="1" customWidth="1"/>
    <col min="1800" max="1801" width="19" customWidth="1"/>
    <col min="1802" max="1802" width="10" customWidth="1"/>
    <col min="1803" max="1803" width="16.33203125" customWidth="1"/>
    <col min="1804" max="1804" width="11.6640625" bestFit="1" customWidth="1"/>
    <col min="1805" max="1805" width="12.5546875" bestFit="1" customWidth="1"/>
    <col min="1806" max="1806" width="9.88671875" bestFit="1" customWidth="1"/>
    <col min="1807" max="1808" width="16.5546875" customWidth="1"/>
    <col min="2046" max="2046" width="2.88671875" customWidth="1"/>
    <col min="2047" max="2048" width="3.88671875" customWidth="1"/>
    <col min="2049" max="2049" width="1.44140625" customWidth="1"/>
    <col min="2050" max="2051" width="4.6640625" customWidth="1"/>
    <col min="2052" max="2052" width="67.5546875" customWidth="1"/>
    <col min="2053" max="2055" width="0" hidden="1" customWidth="1"/>
    <col min="2056" max="2057" width="19" customWidth="1"/>
    <col min="2058" max="2058" width="10" customWidth="1"/>
    <col min="2059" max="2059" width="16.33203125" customWidth="1"/>
    <col min="2060" max="2060" width="11.6640625" bestFit="1" customWidth="1"/>
    <col min="2061" max="2061" width="12.5546875" bestFit="1" customWidth="1"/>
    <col min="2062" max="2062" width="9.88671875" bestFit="1" customWidth="1"/>
    <col min="2063" max="2064" width="16.5546875" customWidth="1"/>
    <col min="2302" max="2302" width="2.88671875" customWidth="1"/>
    <col min="2303" max="2304" width="3.88671875" customWidth="1"/>
    <col min="2305" max="2305" width="1.44140625" customWidth="1"/>
    <col min="2306" max="2307" width="4.6640625" customWidth="1"/>
    <col min="2308" max="2308" width="67.5546875" customWidth="1"/>
    <col min="2309" max="2311" width="0" hidden="1" customWidth="1"/>
    <col min="2312" max="2313" width="19" customWidth="1"/>
    <col min="2314" max="2314" width="10" customWidth="1"/>
    <col min="2315" max="2315" width="16.33203125" customWidth="1"/>
    <col min="2316" max="2316" width="11.6640625" bestFit="1" customWidth="1"/>
    <col min="2317" max="2317" width="12.5546875" bestFit="1" customWidth="1"/>
    <col min="2318" max="2318" width="9.88671875" bestFit="1" customWidth="1"/>
    <col min="2319" max="2320" width="16.5546875" customWidth="1"/>
    <col min="2558" max="2558" width="2.88671875" customWidth="1"/>
    <col min="2559" max="2560" width="3.88671875" customWidth="1"/>
    <col min="2561" max="2561" width="1.44140625" customWidth="1"/>
    <col min="2562" max="2563" width="4.6640625" customWidth="1"/>
    <col min="2564" max="2564" width="67.5546875" customWidth="1"/>
    <col min="2565" max="2567" width="0" hidden="1" customWidth="1"/>
    <col min="2568" max="2569" width="19" customWidth="1"/>
    <col min="2570" max="2570" width="10" customWidth="1"/>
    <col min="2571" max="2571" width="16.33203125" customWidth="1"/>
    <col min="2572" max="2572" width="11.6640625" bestFit="1" customWidth="1"/>
    <col min="2573" max="2573" width="12.5546875" bestFit="1" customWidth="1"/>
    <col min="2574" max="2574" width="9.88671875" bestFit="1" customWidth="1"/>
    <col min="2575" max="2576" width="16.5546875" customWidth="1"/>
    <col min="2814" max="2814" width="2.88671875" customWidth="1"/>
    <col min="2815" max="2816" width="3.88671875" customWidth="1"/>
    <col min="2817" max="2817" width="1.44140625" customWidth="1"/>
    <col min="2818" max="2819" width="4.6640625" customWidth="1"/>
    <col min="2820" max="2820" width="67.5546875" customWidth="1"/>
    <col min="2821" max="2823" width="0" hidden="1" customWidth="1"/>
    <col min="2824" max="2825" width="19" customWidth="1"/>
    <col min="2826" max="2826" width="10" customWidth="1"/>
    <col min="2827" max="2827" width="16.33203125" customWidth="1"/>
    <col min="2828" max="2828" width="11.6640625" bestFit="1" customWidth="1"/>
    <col min="2829" max="2829" width="12.5546875" bestFit="1" customWidth="1"/>
    <col min="2830" max="2830" width="9.88671875" bestFit="1" customWidth="1"/>
    <col min="2831" max="2832" width="16.5546875" customWidth="1"/>
    <col min="3070" max="3070" width="2.88671875" customWidth="1"/>
    <col min="3071" max="3072" width="3.88671875" customWidth="1"/>
    <col min="3073" max="3073" width="1.44140625" customWidth="1"/>
    <col min="3074" max="3075" width="4.6640625" customWidth="1"/>
    <col min="3076" max="3076" width="67.5546875" customWidth="1"/>
    <col min="3077" max="3079" width="0" hidden="1" customWidth="1"/>
    <col min="3080" max="3081" width="19" customWidth="1"/>
    <col min="3082" max="3082" width="10" customWidth="1"/>
    <col min="3083" max="3083" width="16.33203125" customWidth="1"/>
    <col min="3084" max="3084" width="11.6640625" bestFit="1" customWidth="1"/>
    <col min="3085" max="3085" width="12.5546875" bestFit="1" customWidth="1"/>
    <col min="3086" max="3086" width="9.88671875" bestFit="1" customWidth="1"/>
    <col min="3087" max="3088" width="16.5546875" customWidth="1"/>
    <col min="3326" max="3326" width="2.88671875" customWidth="1"/>
    <col min="3327" max="3328" width="3.88671875" customWidth="1"/>
    <col min="3329" max="3329" width="1.44140625" customWidth="1"/>
    <col min="3330" max="3331" width="4.6640625" customWidth="1"/>
    <col min="3332" max="3332" width="67.5546875" customWidth="1"/>
    <col min="3333" max="3335" width="0" hidden="1" customWidth="1"/>
    <col min="3336" max="3337" width="19" customWidth="1"/>
    <col min="3338" max="3338" width="10" customWidth="1"/>
    <col min="3339" max="3339" width="16.33203125" customWidth="1"/>
    <col min="3340" max="3340" width="11.6640625" bestFit="1" customWidth="1"/>
    <col min="3341" max="3341" width="12.5546875" bestFit="1" customWidth="1"/>
    <col min="3342" max="3342" width="9.88671875" bestFit="1" customWidth="1"/>
    <col min="3343" max="3344" width="16.5546875" customWidth="1"/>
    <col min="3582" max="3582" width="2.88671875" customWidth="1"/>
    <col min="3583" max="3584" width="3.88671875" customWidth="1"/>
    <col min="3585" max="3585" width="1.44140625" customWidth="1"/>
    <col min="3586" max="3587" width="4.6640625" customWidth="1"/>
    <col min="3588" max="3588" width="67.5546875" customWidth="1"/>
    <col min="3589" max="3591" width="0" hidden="1" customWidth="1"/>
    <col min="3592" max="3593" width="19" customWidth="1"/>
    <col min="3594" max="3594" width="10" customWidth="1"/>
    <col min="3595" max="3595" width="16.33203125" customWidth="1"/>
    <col min="3596" max="3596" width="11.6640625" bestFit="1" customWidth="1"/>
    <col min="3597" max="3597" width="12.5546875" bestFit="1" customWidth="1"/>
    <col min="3598" max="3598" width="9.88671875" bestFit="1" customWidth="1"/>
    <col min="3599" max="3600" width="16.5546875" customWidth="1"/>
    <col min="3838" max="3838" width="2.88671875" customWidth="1"/>
    <col min="3839" max="3840" width="3.88671875" customWidth="1"/>
    <col min="3841" max="3841" width="1.44140625" customWidth="1"/>
    <col min="3842" max="3843" width="4.6640625" customWidth="1"/>
    <col min="3844" max="3844" width="67.5546875" customWidth="1"/>
    <col min="3845" max="3847" width="0" hidden="1" customWidth="1"/>
    <col min="3848" max="3849" width="19" customWidth="1"/>
    <col min="3850" max="3850" width="10" customWidth="1"/>
    <col min="3851" max="3851" width="16.33203125" customWidth="1"/>
    <col min="3852" max="3852" width="11.6640625" bestFit="1" customWidth="1"/>
    <col min="3853" max="3853" width="12.5546875" bestFit="1" customWidth="1"/>
    <col min="3854" max="3854" width="9.88671875" bestFit="1" customWidth="1"/>
    <col min="3855" max="3856" width="16.5546875" customWidth="1"/>
    <col min="4094" max="4094" width="2.88671875" customWidth="1"/>
    <col min="4095" max="4096" width="3.88671875" customWidth="1"/>
    <col min="4097" max="4097" width="1.44140625" customWidth="1"/>
    <col min="4098" max="4099" width="4.6640625" customWidth="1"/>
    <col min="4100" max="4100" width="67.5546875" customWidth="1"/>
    <col min="4101" max="4103" width="0" hidden="1" customWidth="1"/>
    <col min="4104" max="4105" width="19" customWidth="1"/>
    <col min="4106" max="4106" width="10" customWidth="1"/>
    <col min="4107" max="4107" width="16.33203125" customWidth="1"/>
    <col min="4108" max="4108" width="11.6640625" bestFit="1" customWidth="1"/>
    <col min="4109" max="4109" width="12.5546875" bestFit="1" customWidth="1"/>
    <col min="4110" max="4110" width="9.88671875" bestFit="1" customWidth="1"/>
    <col min="4111" max="4112" width="16.5546875" customWidth="1"/>
    <col min="4350" max="4350" width="2.88671875" customWidth="1"/>
    <col min="4351" max="4352" width="3.88671875" customWidth="1"/>
    <col min="4353" max="4353" width="1.44140625" customWidth="1"/>
    <col min="4354" max="4355" width="4.6640625" customWidth="1"/>
    <col min="4356" max="4356" width="67.5546875" customWidth="1"/>
    <col min="4357" max="4359" width="0" hidden="1" customWidth="1"/>
    <col min="4360" max="4361" width="19" customWidth="1"/>
    <col min="4362" max="4362" width="10" customWidth="1"/>
    <col min="4363" max="4363" width="16.33203125" customWidth="1"/>
    <col min="4364" max="4364" width="11.6640625" bestFit="1" customWidth="1"/>
    <col min="4365" max="4365" width="12.5546875" bestFit="1" customWidth="1"/>
    <col min="4366" max="4366" width="9.88671875" bestFit="1" customWidth="1"/>
    <col min="4367" max="4368" width="16.5546875" customWidth="1"/>
    <col min="4606" max="4606" width="2.88671875" customWidth="1"/>
    <col min="4607" max="4608" width="3.88671875" customWidth="1"/>
    <col min="4609" max="4609" width="1.44140625" customWidth="1"/>
    <col min="4610" max="4611" width="4.6640625" customWidth="1"/>
    <col min="4612" max="4612" width="67.5546875" customWidth="1"/>
    <col min="4613" max="4615" width="0" hidden="1" customWidth="1"/>
    <col min="4616" max="4617" width="19" customWidth="1"/>
    <col min="4618" max="4618" width="10" customWidth="1"/>
    <col min="4619" max="4619" width="16.33203125" customWidth="1"/>
    <col min="4620" max="4620" width="11.6640625" bestFit="1" customWidth="1"/>
    <col min="4621" max="4621" width="12.5546875" bestFit="1" customWidth="1"/>
    <col min="4622" max="4622" width="9.88671875" bestFit="1" customWidth="1"/>
    <col min="4623" max="4624" width="16.5546875" customWidth="1"/>
    <col min="4862" max="4862" width="2.88671875" customWidth="1"/>
    <col min="4863" max="4864" width="3.88671875" customWidth="1"/>
    <col min="4865" max="4865" width="1.44140625" customWidth="1"/>
    <col min="4866" max="4867" width="4.6640625" customWidth="1"/>
    <col min="4868" max="4868" width="67.5546875" customWidth="1"/>
    <col min="4869" max="4871" width="0" hidden="1" customWidth="1"/>
    <col min="4872" max="4873" width="19" customWidth="1"/>
    <col min="4874" max="4874" width="10" customWidth="1"/>
    <col min="4875" max="4875" width="16.33203125" customWidth="1"/>
    <col min="4876" max="4876" width="11.6640625" bestFit="1" customWidth="1"/>
    <col min="4877" max="4877" width="12.5546875" bestFit="1" customWidth="1"/>
    <col min="4878" max="4878" width="9.88671875" bestFit="1" customWidth="1"/>
    <col min="4879" max="4880" width="16.5546875" customWidth="1"/>
    <col min="5118" max="5118" width="2.88671875" customWidth="1"/>
    <col min="5119" max="5120" width="3.88671875" customWidth="1"/>
    <col min="5121" max="5121" width="1.44140625" customWidth="1"/>
    <col min="5122" max="5123" width="4.6640625" customWidth="1"/>
    <col min="5124" max="5124" width="67.5546875" customWidth="1"/>
    <col min="5125" max="5127" width="0" hidden="1" customWidth="1"/>
    <col min="5128" max="5129" width="19" customWidth="1"/>
    <col min="5130" max="5130" width="10" customWidth="1"/>
    <col min="5131" max="5131" width="16.33203125" customWidth="1"/>
    <col min="5132" max="5132" width="11.6640625" bestFit="1" customWidth="1"/>
    <col min="5133" max="5133" width="12.5546875" bestFit="1" customWidth="1"/>
    <col min="5134" max="5134" width="9.88671875" bestFit="1" customWidth="1"/>
    <col min="5135" max="5136" width="16.5546875" customWidth="1"/>
    <col min="5374" max="5374" width="2.88671875" customWidth="1"/>
    <col min="5375" max="5376" width="3.88671875" customWidth="1"/>
    <col min="5377" max="5377" width="1.44140625" customWidth="1"/>
    <col min="5378" max="5379" width="4.6640625" customWidth="1"/>
    <col min="5380" max="5380" width="67.5546875" customWidth="1"/>
    <col min="5381" max="5383" width="0" hidden="1" customWidth="1"/>
    <col min="5384" max="5385" width="19" customWidth="1"/>
    <col min="5386" max="5386" width="10" customWidth="1"/>
    <col min="5387" max="5387" width="16.33203125" customWidth="1"/>
    <col min="5388" max="5388" width="11.6640625" bestFit="1" customWidth="1"/>
    <col min="5389" max="5389" width="12.5546875" bestFit="1" customWidth="1"/>
    <col min="5390" max="5390" width="9.88671875" bestFit="1" customWidth="1"/>
    <col min="5391" max="5392" width="16.5546875" customWidth="1"/>
    <col min="5630" max="5630" width="2.88671875" customWidth="1"/>
    <col min="5631" max="5632" width="3.88671875" customWidth="1"/>
    <col min="5633" max="5633" width="1.44140625" customWidth="1"/>
    <col min="5634" max="5635" width="4.6640625" customWidth="1"/>
    <col min="5636" max="5636" width="67.5546875" customWidth="1"/>
    <col min="5637" max="5639" width="0" hidden="1" customWidth="1"/>
    <col min="5640" max="5641" width="19" customWidth="1"/>
    <col min="5642" max="5642" width="10" customWidth="1"/>
    <col min="5643" max="5643" width="16.33203125" customWidth="1"/>
    <col min="5644" max="5644" width="11.6640625" bestFit="1" customWidth="1"/>
    <col min="5645" max="5645" width="12.5546875" bestFit="1" customWidth="1"/>
    <col min="5646" max="5646" width="9.88671875" bestFit="1" customWidth="1"/>
    <col min="5647" max="5648" width="16.5546875" customWidth="1"/>
    <col min="5886" max="5886" width="2.88671875" customWidth="1"/>
    <col min="5887" max="5888" width="3.88671875" customWidth="1"/>
    <col min="5889" max="5889" width="1.44140625" customWidth="1"/>
    <col min="5890" max="5891" width="4.6640625" customWidth="1"/>
    <col min="5892" max="5892" width="67.5546875" customWidth="1"/>
    <col min="5893" max="5895" width="0" hidden="1" customWidth="1"/>
    <col min="5896" max="5897" width="19" customWidth="1"/>
    <col min="5898" max="5898" width="10" customWidth="1"/>
    <col min="5899" max="5899" width="16.33203125" customWidth="1"/>
    <col min="5900" max="5900" width="11.6640625" bestFit="1" customWidth="1"/>
    <col min="5901" max="5901" width="12.5546875" bestFit="1" customWidth="1"/>
    <col min="5902" max="5902" width="9.88671875" bestFit="1" customWidth="1"/>
    <col min="5903" max="5904" width="16.5546875" customWidth="1"/>
    <col min="6142" max="6142" width="2.88671875" customWidth="1"/>
    <col min="6143" max="6144" width="3.88671875" customWidth="1"/>
    <col min="6145" max="6145" width="1.44140625" customWidth="1"/>
    <col min="6146" max="6147" width="4.6640625" customWidth="1"/>
    <col min="6148" max="6148" width="67.5546875" customWidth="1"/>
    <col min="6149" max="6151" width="0" hidden="1" customWidth="1"/>
    <col min="6152" max="6153" width="19" customWidth="1"/>
    <col min="6154" max="6154" width="10" customWidth="1"/>
    <col min="6155" max="6155" width="16.33203125" customWidth="1"/>
    <col min="6156" max="6156" width="11.6640625" bestFit="1" customWidth="1"/>
    <col min="6157" max="6157" width="12.5546875" bestFit="1" customWidth="1"/>
    <col min="6158" max="6158" width="9.88671875" bestFit="1" customWidth="1"/>
    <col min="6159" max="6160" width="16.5546875" customWidth="1"/>
    <col min="6398" max="6398" width="2.88671875" customWidth="1"/>
    <col min="6399" max="6400" width="3.88671875" customWidth="1"/>
    <col min="6401" max="6401" width="1.44140625" customWidth="1"/>
    <col min="6402" max="6403" width="4.6640625" customWidth="1"/>
    <col min="6404" max="6404" width="67.5546875" customWidth="1"/>
    <col min="6405" max="6407" width="0" hidden="1" customWidth="1"/>
    <col min="6408" max="6409" width="19" customWidth="1"/>
    <col min="6410" max="6410" width="10" customWidth="1"/>
    <col min="6411" max="6411" width="16.33203125" customWidth="1"/>
    <col min="6412" max="6412" width="11.6640625" bestFit="1" customWidth="1"/>
    <col min="6413" max="6413" width="12.5546875" bestFit="1" customWidth="1"/>
    <col min="6414" max="6414" width="9.88671875" bestFit="1" customWidth="1"/>
    <col min="6415" max="6416" width="16.5546875" customWidth="1"/>
    <col min="6654" max="6654" width="2.88671875" customWidth="1"/>
    <col min="6655" max="6656" width="3.88671875" customWidth="1"/>
    <col min="6657" max="6657" width="1.44140625" customWidth="1"/>
    <col min="6658" max="6659" width="4.6640625" customWidth="1"/>
    <col min="6660" max="6660" width="67.5546875" customWidth="1"/>
    <col min="6661" max="6663" width="0" hidden="1" customWidth="1"/>
    <col min="6664" max="6665" width="19" customWidth="1"/>
    <col min="6666" max="6666" width="10" customWidth="1"/>
    <col min="6667" max="6667" width="16.33203125" customWidth="1"/>
    <col min="6668" max="6668" width="11.6640625" bestFit="1" customWidth="1"/>
    <col min="6669" max="6669" width="12.5546875" bestFit="1" customWidth="1"/>
    <col min="6670" max="6670" width="9.88671875" bestFit="1" customWidth="1"/>
    <col min="6671" max="6672" width="16.5546875" customWidth="1"/>
    <col min="6910" max="6910" width="2.88671875" customWidth="1"/>
    <col min="6911" max="6912" width="3.88671875" customWidth="1"/>
    <col min="6913" max="6913" width="1.44140625" customWidth="1"/>
    <col min="6914" max="6915" width="4.6640625" customWidth="1"/>
    <col min="6916" max="6916" width="67.5546875" customWidth="1"/>
    <col min="6917" max="6919" width="0" hidden="1" customWidth="1"/>
    <col min="6920" max="6921" width="19" customWidth="1"/>
    <col min="6922" max="6922" width="10" customWidth="1"/>
    <col min="6923" max="6923" width="16.33203125" customWidth="1"/>
    <col min="6924" max="6924" width="11.6640625" bestFit="1" customWidth="1"/>
    <col min="6925" max="6925" width="12.5546875" bestFit="1" customWidth="1"/>
    <col min="6926" max="6926" width="9.88671875" bestFit="1" customWidth="1"/>
    <col min="6927" max="6928" width="16.5546875" customWidth="1"/>
    <col min="7166" max="7166" width="2.88671875" customWidth="1"/>
    <col min="7167" max="7168" width="3.88671875" customWidth="1"/>
    <col min="7169" max="7169" width="1.44140625" customWidth="1"/>
    <col min="7170" max="7171" width="4.6640625" customWidth="1"/>
    <col min="7172" max="7172" width="67.5546875" customWidth="1"/>
    <col min="7173" max="7175" width="0" hidden="1" customWidth="1"/>
    <col min="7176" max="7177" width="19" customWidth="1"/>
    <col min="7178" max="7178" width="10" customWidth="1"/>
    <col min="7179" max="7179" width="16.33203125" customWidth="1"/>
    <col min="7180" max="7180" width="11.6640625" bestFit="1" customWidth="1"/>
    <col min="7181" max="7181" width="12.5546875" bestFit="1" customWidth="1"/>
    <col min="7182" max="7182" width="9.88671875" bestFit="1" customWidth="1"/>
    <col min="7183" max="7184" width="16.5546875" customWidth="1"/>
    <col min="7422" max="7422" width="2.88671875" customWidth="1"/>
    <col min="7423" max="7424" width="3.88671875" customWidth="1"/>
    <col min="7425" max="7425" width="1.44140625" customWidth="1"/>
    <col min="7426" max="7427" width="4.6640625" customWidth="1"/>
    <col min="7428" max="7428" width="67.5546875" customWidth="1"/>
    <col min="7429" max="7431" width="0" hidden="1" customWidth="1"/>
    <col min="7432" max="7433" width="19" customWidth="1"/>
    <col min="7434" max="7434" width="10" customWidth="1"/>
    <col min="7435" max="7435" width="16.33203125" customWidth="1"/>
    <col min="7436" max="7436" width="11.6640625" bestFit="1" customWidth="1"/>
    <col min="7437" max="7437" width="12.5546875" bestFit="1" customWidth="1"/>
    <col min="7438" max="7438" width="9.88671875" bestFit="1" customWidth="1"/>
    <col min="7439" max="7440" width="16.5546875" customWidth="1"/>
    <col min="7678" max="7678" width="2.88671875" customWidth="1"/>
    <col min="7679" max="7680" width="3.88671875" customWidth="1"/>
    <col min="7681" max="7681" width="1.44140625" customWidth="1"/>
    <col min="7682" max="7683" width="4.6640625" customWidth="1"/>
    <col min="7684" max="7684" width="67.5546875" customWidth="1"/>
    <col min="7685" max="7687" width="0" hidden="1" customWidth="1"/>
    <col min="7688" max="7689" width="19" customWidth="1"/>
    <col min="7690" max="7690" width="10" customWidth="1"/>
    <col min="7691" max="7691" width="16.33203125" customWidth="1"/>
    <col min="7692" max="7692" width="11.6640625" bestFit="1" customWidth="1"/>
    <col min="7693" max="7693" width="12.5546875" bestFit="1" customWidth="1"/>
    <col min="7694" max="7694" width="9.88671875" bestFit="1" customWidth="1"/>
    <col min="7695" max="7696" width="16.5546875" customWidth="1"/>
    <col min="7934" max="7934" width="2.88671875" customWidth="1"/>
    <col min="7935" max="7936" width="3.88671875" customWidth="1"/>
    <col min="7937" max="7937" width="1.44140625" customWidth="1"/>
    <col min="7938" max="7939" width="4.6640625" customWidth="1"/>
    <col min="7940" max="7940" width="67.5546875" customWidth="1"/>
    <col min="7941" max="7943" width="0" hidden="1" customWidth="1"/>
    <col min="7944" max="7945" width="19" customWidth="1"/>
    <col min="7946" max="7946" width="10" customWidth="1"/>
    <col min="7947" max="7947" width="16.33203125" customWidth="1"/>
    <col min="7948" max="7948" width="11.6640625" bestFit="1" customWidth="1"/>
    <col min="7949" max="7949" width="12.5546875" bestFit="1" customWidth="1"/>
    <col min="7950" max="7950" width="9.88671875" bestFit="1" customWidth="1"/>
    <col min="7951" max="7952" width="16.5546875" customWidth="1"/>
    <col min="8190" max="8190" width="2.88671875" customWidth="1"/>
    <col min="8191" max="8192" width="3.88671875" customWidth="1"/>
    <col min="8193" max="8193" width="1.44140625" customWidth="1"/>
    <col min="8194" max="8195" width="4.6640625" customWidth="1"/>
    <col min="8196" max="8196" width="67.5546875" customWidth="1"/>
    <col min="8197" max="8199" width="0" hidden="1" customWidth="1"/>
    <col min="8200" max="8201" width="19" customWidth="1"/>
    <col min="8202" max="8202" width="10" customWidth="1"/>
    <col min="8203" max="8203" width="16.33203125" customWidth="1"/>
    <col min="8204" max="8204" width="11.6640625" bestFit="1" customWidth="1"/>
    <col min="8205" max="8205" width="12.5546875" bestFit="1" customWidth="1"/>
    <col min="8206" max="8206" width="9.88671875" bestFit="1" customWidth="1"/>
    <col min="8207" max="8208" width="16.5546875" customWidth="1"/>
    <col min="8446" max="8446" width="2.88671875" customWidth="1"/>
    <col min="8447" max="8448" width="3.88671875" customWidth="1"/>
    <col min="8449" max="8449" width="1.44140625" customWidth="1"/>
    <col min="8450" max="8451" width="4.6640625" customWidth="1"/>
    <col min="8452" max="8452" width="67.5546875" customWidth="1"/>
    <col min="8453" max="8455" width="0" hidden="1" customWidth="1"/>
    <col min="8456" max="8457" width="19" customWidth="1"/>
    <col min="8458" max="8458" width="10" customWidth="1"/>
    <col min="8459" max="8459" width="16.33203125" customWidth="1"/>
    <col min="8460" max="8460" width="11.6640625" bestFit="1" customWidth="1"/>
    <col min="8461" max="8461" width="12.5546875" bestFit="1" customWidth="1"/>
    <col min="8462" max="8462" width="9.88671875" bestFit="1" customWidth="1"/>
    <col min="8463" max="8464" width="16.5546875" customWidth="1"/>
    <col min="8702" max="8702" width="2.88671875" customWidth="1"/>
    <col min="8703" max="8704" width="3.88671875" customWidth="1"/>
    <col min="8705" max="8705" width="1.44140625" customWidth="1"/>
    <col min="8706" max="8707" width="4.6640625" customWidth="1"/>
    <col min="8708" max="8708" width="67.5546875" customWidth="1"/>
    <col min="8709" max="8711" width="0" hidden="1" customWidth="1"/>
    <col min="8712" max="8713" width="19" customWidth="1"/>
    <col min="8714" max="8714" width="10" customWidth="1"/>
    <col min="8715" max="8715" width="16.33203125" customWidth="1"/>
    <col min="8716" max="8716" width="11.6640625" bestFit="1" customWidth="1"/>
    <col min="8717" max="8717" width="12.5546875" bestFit="1" customWidth="1"/>
    <col min="8718" max="8718" width="9.88671875" bestFit="1" customWidth="1"/>
    <col min="8719" max="8720" width="16.5546875" customWidth="1"/>
    <col min="8958" max="8958" width="2.88671875" customWidth="1"/>
    <col min="8959" max="8960" width="3.88671875" customWidth="1"/>
    <col min="8961" max="8961" width="1.44140625" customWidth="1"/>
    <col min="8962" max="8963" width="4.6640625" customWidth="1"/>
    <col min="8964" max="8964" width="67.5546875" customWidth="1"/>
    <col min="8965" max="8967" width="0" hidden="1" customWidth="1"/>
    <col min="8968" max="8969" width="19" customWidth="1"/>
    <col min="8970" max="8970" width="10" customWidth="1"/>
    <col min="8971" max="8971" width="16.33203125" customWidth="1"/>
    <col min="8972" max="8972" width="11.6640625" bestFit="1" customWidth="1"/>
    <col min="8973" max="8973" width="12.5546875" bestFit="1" customWidth="1"/>
    <col min="8974" max="8974" width="9.88671875" bestFit="1" customWidth="1"/>
    <col min="8975" max="8976" width="16.5546875" customWidth="1"/>
    <col min="9214" max="9214" width="2.88671875" customWidth="1"/>
    <col min="9215" max="9216" width="3.88671875" customWidth="1"/>
    <col min="9217" max="9217" width="1.44140625" customWidth="1"/>
    <col min="9218" max="9219" width="4.6640625" customWidth="1"/>
    <col min="9220" max="9220" width="67.5546875" customWidth="1"/>
    <col min="9221" max="9223" width="0" hidden="1" customWidth="1"/>
    <col min="9224" max="9225" width="19" customWidth="1"/>
    <col min="9226" max="9226" width="10" customWidth="1"/>
    <col min="9227" max="9227" width="16.33203125" customWidth="1"/>
    <col min="9228" max="9228" width="11.6640625" bestFit="1" customWidth="1"/>
    <col min="9229" max="9229" width="12.5546875" bestFit="1" customWidth="1"/>
    <col min="9230" max="9230" width="9.88671875" bestFit="1" customWidth="1"/>
    <col min="9231" max="9232" width="16.5546875" customWidth="1"/>
    <col min="9470" max="9470" width="2.88671875" customWidth="1"/>
    <col min="9471" max="9472" width="3.88671875" customWidth="1"/>
    <col min="9473" max="9473" width="1.44140625" customWidth="1"/>
    <col min="9474" max="9475" width="4.6640625" customWidth="1"/>
    <col min="9476" max="9476" width="67.5546875" customWidth="1"/>
    <col min="9477" max="9479" width="0" hidden="1" customWidth="1"/>
    <col min="9480" max="9481" width="19" customWidth="1"/>
    <col min="9482" max="9482" width="10" customWidth="1"/>
    <col min="9483" max="9483" width="16.33203125" customWidth="1"/>
    <col min="9484" max="9484" width="11.6640625" bestFit="1" customWidth="1"/>
    <col min="9485" max="9485" width="12.5546875" bestFit="1" customWidth="1"/>
    <col min="9486" max="9486" width="9.88671875" bestFit="1" customWidth="1"/>
    <col min="9487" max="9488" width="16.5546875" customWidth="1"/>
    <col min="9726" max="9726" width="2.88671875" customWidth="1"/>
    <col min="9727" max="9728" width="3.88671875" customWidth="1"/>
    <col min="9729" max="9729" width="1.44140625" customWidth="1"/>
    <col min="9730" max="9731" width="4.6640625" customWidth="1"/>
    <col min="9732" max="9732" width="67.5546875" customWidth="1"/>
    <col min="9733" max="9735" width="0" hidden="1" customWidth="1"/>
    <col min="9736" max="9737" width="19" customWidth="1"/>
    <col min="9738" max="9738" width="10" customWidth="1"/>
    <col min="9739" max="9739" width="16.33203125" customWidth="1"/>
    <col min="9740" max="9740" width="11.6640625" bestFit="1" customWidth="1"/>
    <col min="9741" max="9741" width="12.5546875" bestFit="1" customWidth="1"/>
    <col min="9742" max="9742" width="9.88671875" bestFit="1" customWidth="1"/>
    <col min="9743" max="9744" width="16.5546875" customWidth="1"/>
    <col min="9982" max="9982" width="2.88671875" customWidth="1"/>
    <col min="9983" max="9984" width="3.88671875" customWidth="1"/>
    <col min="9985" max="9985" width="1.44140625" customWidth="1"/>
    <col min="9986" max="9987" width="4.6640625" customWidth="1"/>
    <col min="9988" max="9988" width="67.5546875" customWidth="1"/>
    <col min="9989" max="9991" width="0" hidden="1" customWidth="1"/>
    <col min="9992" max="9993" width="19" customWidth="1"/>
    <col min="9994" max="9994" width="10" customWidth="1"/>
    <col min="9995" max="9995" width="16.33203125" customWidth="1"/>
    <col min="9996" max="9996" width="11.6640625" bestFit="1" customWidth="1"/>
    <col min="9997" max="9997" width="12.5546875" bestFit="1" customWidth="1"/>
    <col min="9998" max="9998" width="9.88671875" bestFit="1" customWidth="1"/>
    <col min="9999" max="10000" width="16.5546875" customWidth="1"/>
    <col min="10238" max="10238" width="2.88671875" customWidth="1"/>
    <col min="10239" max="10240" width="3.88671875" customWidth="1"/>
    <col min="10241" max="10241" width="1.44140625" customWidth="1"/>
    <col min="10242" max="10243" width="4.6640625" customWidth="1"/>
    <col min="10244" max="10244" width="67.5546875" customWidth="1"/>
    <col min="10245" max="10247" width="0" hidden="1" customWidth="1"/>
    <col min="10248" max="10249" width="19" customWidth="1"/>
    <col min="10250" max="10250" width="10" customWidth="1"/>
    <col min="10251" max="10251" width="16.33203125" customWidth="1"/>
    <col min="10252" max="10252" width="11.6640625" bestFit="1" customWidth="1"/>
    <col min="10253" max="10253" width="12.5546875" bestFit="1" customWidth="1"/>
    <col min="10254" max="10254" width="9.88671875" bestFit="1" customWidth="1"/>
    <col min="10255" max="10256" width="16.5546875" customWidth="1"/>
    <col min="10494" max="10494" width="2.88671875" customWidth="1"/>
    <col min="10495" max="10496" width="3.88671875" customWidth="1"/>
    <col min="10497" max="10497" width="1.44140625" customWidth="1"/>
    <col min="10498" max="10499" width="4.6640625" customWidth="1"/>
    <col min="10500" max="10500" width="67.5546875" customWidth="1"/>
    <col min="10501" max="10503" width="0" hidden="1" customWidth="1"/>
    <col min="10504" max="10505" width="19" customWidth="1"/>
    <col min="10506" max="10506" width="10" customWidth="1"/>
    <col min="10507" max="10507" width="16.33203125" customWidth="1"/>
    <col min="10508" max="10508" width="11.6640625" bestFit="1" customWidth="1"/>
    <col min="10509" max="10509" width="12.5546875" bestFit="1" customWidth="1"/>
    <col min="10510" max="10510" width="9.88671875" bestFit="1" customWidth="1"/>
    <col min="10511" max="10512" width="16.5546875" customWidth="1"/>
    <col min="10750" max="10750" width="2.88671875" customWidth="1"/>
    <col min="10751" max="10752" width="3.88671875" customWidth="1"/>
    <col min="10753" max="10753" width="1.44140625" customWidth="1"/>
    <col min="10754" max="10755" width="4.6640625" customWidth="1"/>
    <col min="10756" max="10756" width="67.5546875" customWidth="1"/>
    <col min="10757" max="10759" width="0" hidden="1" customWidth="1"/>
    <col min="10760" max="10761" width="19" customWidth="1"/>
    <col min="10762" max="10762" width="10" customWidth="1"/>
    <col min="10763" max="10763" width="16.33203125" customWidth="1"/>
    <col min="10764" max="10764" width="11.6640625" bestFit="1" customWidth="1"/>
    <col min="10765" max="10765" width="12.5546875" bestFit="1" customWidth="1"/>
    <col min="10766" max="10766" width="9.88671875" bestFit="1" customWidth="1"/>
    <col min="10767" max="10768" width="16.5546875" customWidth="1"/>
    <col min="11006" max="11006" width="2.88671875" customWidth="1"/>
    <col min="11007" max="11008" width="3.88671875" customWidth="1"/>
    <col min="11009" max="11009" width="1.44140625" customWidth="1"/>
    <col min="11010" max="11011" width="4.6640625" customWidth="1"/>
    <col min="11012" max="11012" width="67.5546875" customWidth="1"/>
    <col min="11013" max="11015" width="0" hidden="1" customWidth="1"/>
    <col min="11016" max="11017" width="19" customWidth="1"/>
    <col min="11018" max="11018" width="10" customWidth="1"/>
    <col min="11019" max="11019" width="16.33203125" customWidth="1"/>
    <col min="11020" max="11020" width="11.6640625" bestFit="1" customWidth="1"/>
    <col min="11021" max="11021" width="12.5546875" bestFit="1" customWidth="1"/>
    <col min="11022" max="11022" width="9.88671875" bestFit="1" customWidth="1"/>
    <col min="11023" max="11024" width="16.5546875" customWidth="1"/>
    <col min="11262" max="11262" width="2.88671875" customWidth="1"/>
    <col min="11263" max="11264" width="3.88671875" customWidth="1"/>
    <col min="11265" max="11265" width="1.44140625" customWidth="1"/>
    <col min="11266" max="11267" width="4.6640625" customWidth="1"/>
    <col min="11268" max="11268" width="67.5546875" customWidth="1"/>
    <col min="11269" max="11271" width="0" hidden="1" customWidth="1"/>
    <col min="11272" max="11273" width="19" customWidth="1"/>
    <col min="11274" max="11274" width="10" customWidth="1"/>
    <col min="11275" max="11275" width="16.33203125" customWidth="1"/>
    <col min="11276" max="11276" width="11.6640625" bestFit="1" customWidth="1"/>
    <col min="11277" max="11277" width="12.5546875" bestFit="1" customWidth="1"/>
    <col min="11278" max="11278" width="9.88671875" bestFit="1" customWidth="1"/>
    <col min="11279" max="11280" width="16.5546875" customWidth="1"/>
    <col min="11518" max="11518" width="2.88671875" customWidth="1"/>
    <col min="11519" max="11520" width="3.88671875" customWidth="1"/>
    <col min="11521" max="11521" width="1.44140625" customWidth="1"/>
    <col min="11522" max="11523" width="4.6640625" customWidth="1"/>
    <col min="11524" max="11524" width="67.5546875" customWidth="1"/>
    <col min="11525" max="11527" width="0" hidden="1" customWidth="1"/>
    <col min="11528" max="11529" width="19" customWidth="1"/>
    <col min="11530" max="11530" width="10" customWidth="1"/>
    <col min="11531" max="11531" width="16.33203125" customWidth="1"/>
    <col min="11532" max="11532" width="11.6640625" bestFit="1" customWidth="1"/>
    <col min="11533" max="11533" width="12.5546875" bestFit="1" customWidth="1"/>
    <col min="11534" max="11534" width="9.88671875" bestFit="1" customWidth="1"/>
    <col min="11535" max="11536" width="16.5546875" customWidth="1"/>
    <col min="11774" max="11774" width="2.88671875" customWidth="1"/>
    <col min="11775" max="11776" width="3.88671875" customWidth="1"/>
    <col min="11777" max="11777" width="1.44140625" customWidth="1"/>
    <col min="11778" max="11779" width="4.6640625" customWidth="1"/>
    <col min="11780" max="11780" width="67.5546875" customWidth="1"/>
    <col min="11781" max="11783" width="0" hidden="1" customWidth="1"/>
    <col min="11784" max="11785" width="19" customWidth="1"/>
    <col min="11786" max="11786" width="10" customWidth="1"/>
    <col min="11787" max="11787" width="16.33203125" customWidth="1"/>
    <col min="11788" max="11788" width="11.6640625" bestFit="1" customWidth="1"/>
    <col min="11789" max="11789" width="12.5546875" bestFit="1" customWidth="1"/>
    <col min="11790" max="11790" width="9.88671875" bestFit="1" customWidth="1"/>
    <col min="11791" max="11792" width="16.5546875" customWidth="1"/>
    <col min="12030" max="12030" width="2.88671875" customWidth="1"/>
    <col min="12031" max="12032" width="3.88671875" customWidth="1"/>
    <col min="12033" max="12033" width="1.44140625" customWidth="1"/>
    <col min="12034" max="12035" width="4.6640625" customWidth="1"/>
    <col min="12036" max="12036" width="67.5546875" customWidth="1"/>
    <col min="12037" max="12039" width="0" hidden="1" customWidth="1"/>
    <col min="12040" max="12041" width="19" customWidth="1"/>
    <col min="12042" max="12042" width="10" customWidth="1"/>
    <col min="12043" max="12043" width="16.33203125" customWidth="1"/>
    <col min="12044" max="12044" width="11.6640625" bestFit="1" customWidth="1"/>
    <col min="12045" max="12045" width="12.5546875" bestFit="1" customWidth="1"/>
    <col min="12046" max="12046" width="9.88671875" bestFit="1" customWidth="1"/>
    <col min="12047" max="12048" width="16.5546875" customWidth="1"/>
    <col min="12286" max="12286" width="2.88671875" customWidth="1"/>
    <col min="12287" max="12288" width="3.88671875" customWidth="1"/>
    <col min="12289" max="12289" width="1.44140625" customWidth="1"/>
    <col min="12290" max="12291" width="4.6640625" customWidth="1"/>
    <col min="12292" max="12292" width="67.5546875" customWidth="1"/>
    <col min="12293" max="12295" width="0" hidden="1" customWidth="1"/>
    <col min="12296" max="12297" width="19" customWidth="1"/>
    <col min="12298" max="12298" width="10" customWidth="1"/>
    <col min="12299" max="12299" width="16.33203125" customWidth="1"/>
    <col min="12300" max="12300" width="11.6640625" bestFit="1" customWidth="1"/>
    <col min="12301" max="12301" width="12.5546875" bestFit="1" customWidth="1"/>
    <col min="12302" max="12302" width="9.88671875" bestFit="1" customWidth="1"/>
    <col min="12303" max="12304" width="16.5546875" customWidth="1"/>
    <col min="12542" max="12542" width="2.88671875" customWidth="1"/>
    <col min="12543" max="12544" width="3.88671875" customWidth="1"/>
    <col min="12545" max="12545" width="1.44140625" customWidth="1"/>
    <col min="12546" max="12547" width="4.6640625" customWidth="1"/>
    <col min="12548" max="12548" width="67.5546875" customWidth="1"/>
    <col min="12549" max="12551" width="0" hidden="1" customWidth="1"/>
    <col min="12552" max="12553" width="19" customWidth="1"/>
    <col min="12554" max="12554" width="10" customWidth="1"/>
    <col min="12555" max="12555" width="16.33203125" customWidth="1"/>
    <col min="12556" max="12556" width="11.6640625" bestFit="1" customWidth="1"/>
    <col min="12557" max="12557" width="12.5546875" bestFit="1" customWidth="1"/>
    <col min="12558" max="12558" width="9.88671875" bestFit="1" customWidth="1"/>
    <col min="12559" max="12560" width="16.5546875" customWidth="1"/>
    <col min="12798" max="12798" width="2.88671875" customWidth="1"/>
    <col min="12799" max="12800" width="3.88671875" customWidth="1"/>
    <col min="12801" max="12801" width="1.44140625" customWidth="1"/>
    <col min="12802" max="12803" width="4.6640625" customWidth="1"/>
    <col min="12804" max="12804" width="67.5546875" customWidth="1"/>
    <col min="12805" max="12807" width="0" hidden="1" customWidth="1"/>
    <col min="12808" max="12809" width="19" customWidth="1"/>
    <col min="12810" max="12810" width="10" customWidth="1"/>
    <col min="12811" max="12811" width="16.33203125" customWidth="1"/>
    <col min="12812" max="12812" width="11.6640625" bestFit="1" customWidth="1"/>
    <col min="12813" max="12813" width="12.5546875" bestFit="1" customWidth="1"/>
    <col min="12814" max="12814" width="9.88671875" bestFit="1" customWidth="1"/>
    <col min="12815" max="12816" width="16.5546875" customWidth="1"/>
    <col min="13054" max="13054" width="2.88671875" customWidth="1"/>
    <col min="13055" max="13056" width="3.88671875" customWidth="1"/>
    <col min="13057" max="13057" width="1.44140625" customWidth="1"/>
    <col min="13058" max="13059" width="4.6640625" customWidth="1"/>
    <col min="13060" max="13060" width="67.5546875" customWidth="1"/>
    <col min="13061" max="13063" width="0" hidden="1" customWidth="1"/>
    <col min="13064" max="13065" width="19" customWidth="1"/>
    <col min="13066" max="13066" width="10" customWidth="1"/>
    <col min="13067" max="13067" width="16.33203125" customWidth="1"/>
    <col min="13068" max="13068" width="11.6640625" bestFit="1" customWidth="1"/>
    <col min="13069" max="13069" width="12.5546875" bestFit="1" customWidth="1"/>
    <col min="13070" max="13070" width="9.88671875" bestFit="1" customWidth="1"/>
    <col min="13071" max="13072" width="16.5546875" customWidth="1"/>
    <col min="13310" max="13310" width="2.88671875" customWidth="1"/>
    <col min="13311" max="13312" width="3.88671875" customWidth="1"/>
    <col min="13313" max="13313" width="1.44140625" customWidth="1"/>
    <col min="13314" max="13315" width="4.6640625" customWidth="1"/>
    <col min="13316" max="13316" width="67.5546875" customWidth="1"/>
    <col min="13317" max="13319" width="0" hidden="1" customWidth="1"/>
    <col min="13320" max="13321" width="19" customWidth="1"/>
    <col min="13322" max="13322" width="10" customWidth="1"/>
    <col min="13323" max="13323" width="16.33203125" customWidth="1"/>
    <col min="13324" max="13324" width="11.6640625" bestFit="1" customWidth="1"/>
    <col min="13325" max="13325" width="12.5546875" bestFit="1" customWidth="1"/>
    <col min="13326" max="13326" width="9.88671875" bestFit="1" customWidth="1"/>
    <col min="13327" max="13328" width="16.5546875" customWidth="1"/>
    <col min="13566" max="13566" width="2.88671875" customWidth="1"/>
    <col min="13567" max="13568" width="3.88671875" customWidth="1"/>
    <col min="13569" max="13569" width="1.44140625" customWidth="1"/>
    <col min="13570" max="13571" width="4.6640625" customWidth="1"/>
    <col min="13572" max="13572" width="67.5546875" customWidth="1"/>
    <col min="13573" max="13575" width="0" hidden="1" customWidth="1"/>
    <col min="13576" max="13577" width="19" customWidth="1"/>
    <col min="13578" max="13578" width="10" customWidth="1"/>
    <col min="13579" max="13579" width="16.33203125" customWidth="1"/>
    <col min="13580" max="13580" width="11.6640625" bestFit="1" customWidth="1"/>
    <col min="13581" max="13581" width="12.5546875" bestFit="1" customWidth="1"/>
    <col min="13582" max="13582" width="9.88671875" bestFit="1" customWidth="1"/>
    <col min="13583" max="13584" width="16.5546875" customWidth="1"/>
    <col min="13822" max="13822" width="2.88671875" customWidth="1"/>
    <col min="13823" max="13824" width="3.88671875" customWidth="1"/>
    <col min="13825" max="13825" width="1.44140625" customWidth="1"/>
    <col min="13826" max="13827" width="4.6640625" customWidth="1"/>
    <col min="13828" max="13828" width="67.5546875" customWidth="1"/>
    <col min="13829" max="13831" width="0" hidden="1" customWidth="1"/>
    <col min="13832" max="13833" width="19" customWidth="1"/>
    <col min="13834" max="13834" width="10" customWidth="1"/>
    <col min="13835" max="13835" width="16.33203125" customWidth="1"/>
    <col min="13836" max="13836" width="11.6640625" bestFit="1" customWidth="1"/>
    <col min="13837" max="13837" width="12.5546875" bestFit="1" customWidth="1"/>
    <col min="13838" max="13838" width="9.88671875" bestFit="1" customWidth="1"/>
    <col min="13839" max="13840" width="16.5546875" customWidth="1"/>
    <col min="14078" max="14078" width="2.88671875" customWidth="1"/>
    <col min="14079" max="14080" width="3.88671875" customWidth="1"/>
    <col min="14081" max="14081" width="1.44140625" customWidth="1"/>
    <col min="14082" max="14083" width="4.6640625" customWidth="1"/>
    <col min="14084" max="14084" width="67.5546875" customWidth="1"/>
    <col min="14085" max="14087" width="0" hidden="1" customWidth="1"/>
    <col min="14088" max="14089" width="19" customWidth="1"/>
    <col min="14090" max="14090" width="10" customWidth="1"/>
    <col min="14091" max="14091" width="16.33203125" customWidth="1"/>
    <col min="14092" max="14092" width="11.6640625" bestFit="1" customWidth="1"/>
    <col min="14093" max="14093" width="12.5546875" bestFit="1" customWidth="1"/>
    <col min="14094" max="14094" width="9.88671875" bestFit="1" customWidth="1"/>
    <col min="14095" max="14096" width="16.5546875" customWidth="1"/>
    <col min="14334" max="14334" width="2.88671875" customWidth="1"/>
    <col min="14335" max="14336" width="3.88671875" customWidth="1"/>
    <col min="14337" max="14337" width="1.44140625" customWidth="1"/>
    <col min="14338" max="14339" width="4.6640625" customWidth="1"/>
    <col min="14340" max="14340" width="67.5546875" customWidth="1"/>
    <col min="14341" max="14343" width="0" hidden="1" customWidth="1"/>
    <col min="14344" max="14345" width="19" customWidth="1"/>
    <col min="14346" max="14346" width="10" customWidth="1"/>
    <col min="14347" max="14347" width="16.33203125" customWidth="1"/>
    <col min="14348" max="14348" width="11.6640625" bestFit="1" customWidth="1"/>
    <col min="14349" max="14349" width="12.5546875" bestFit="1" customWidth="1"/>
    <col min="14350" max="14350" width="9.88671875" bestFit="1" customWidth="1"/>
    <col min="14351" max="14352" width="16.5546875" customWidth="1"/>
    <col min="14590" max="14590" width="2.88671875" customWidth="1"/>
    <col min="14591" max="14592" width="3.88671875" customWidth="1"/>
    <col min="14593" max="14593" width="1.44140625" customWidth="1"/>
    <col min="14594" max="14595" width="4.6640625" customWidth="1"/>
    <col min="14596" max="14596" width="67.5546875" customWidth="1"/>
    <col min="14597" max="14599" width="0" hidden="1" customWidth="1"/>
    <col min="14600" max="14601" width="19" customWidth="1"/>
    <col min="14602" max="14602" width="10" customWidth="1"/>
    <col min="14603" max="14603" width="16.33203125" customWidth="1"/>
    <col min="14604" max="14604" width="11.6640625" bestFit="1" customWidth="1"/>
    <col min="14605" max="14605" width="12.5546875" bestFit="1" customWidth="1"/>
    <col min="14606" max="14606" width="9.88671875" bestFit="1" customWidth="1"/>
    <col min="14607" max="14608" width="16.5546875" customWidth="1"/>
    <col min="14846" max="14846" width="2.88671875" customWidth="1"/>
    <col min="14847" max="14848" width="3.88671875" customWidth="1"/>
    <col min="14849" max="14849" width="1.44140625" customWidth="1"/>
    <col min="14850" max="14851" width="4.6640625" customWidth="1"/>
    <col min="14852" max="14852" width="67.5546875" customWidth="1"/>
    <col min="14853" max="14855" width="0" hidden="1" customWidth="1"/>
    <col min="14856" max="14857" width="19" customWidth="1"/>
    <col min="14858" max="14858" width="10" customWidth="1"/>
    <col min="14859" max="14859" width="16.33203125" customWidth="1"/>
    <col min="14860" max="14860" width="11.6640625" bestFit="1" customWidth="1"/>
    <col min="14861" max="14861" width="12.5546875" bestFit="1" customWidth="1"/>
    <col min="14862" max="14862" width="9.88671875" bestFit="1" customWidth="1"/>
    <col min="14863" max="14864" width="16.5546875" customWidth="1"/>
    <col min="15102" max="15102" width="2.88671875" customWidth="1"/>
    <col min="15103" max="15104" width="3.88671875" customWidth="1"/>
    <col min="15105" max="15105" width="1.44140625" customWidth="1"/>
    <col min="15106" max="15107" width="4.6640625" customWidth="1"/>
    <col min="15108" max="15108" width="67.5546875" customWidth="1"/>
    <col min="15109" max="15111" width="0" hidden="1" customWidth="1"/>
    <col min="15112" max="15113" width="19" customWidth="1"/>
    <col min="15114" max="15114" width="10" customWidth="1"/>
    <col min="15115" max="15115" width="16.33203125" customWidth="1"/>
    <col min="15116" max="15116" width="11.6640625" bestFit="1" customWidth="1"/>
    <col min="15117" max="15117" width="12.5546875" bestFit="1" customWidth="1"/>
    <col min="15118" max="15118" width="9.88671875" bestFit="1" customWidth="1"/>
    <col min="15119" max="15120" width="16.5546875" customWidth="1"/>
    <col min="15358" max="15358" width="2.88671875" customWidth="1"/>
    <col min="15359" max="15360" width="3.88671875" customWidth="1"/>
    <col min="15361" max="15361" width="1.44140625" customWidth="1"/>
    <col min="15362" max="15363" width="4.6640625" customWidth="1"/>
    <col min="15364" max="15364" width="67.5546875" customWidth="1"/>
    <col min="15365" max="15367" width="0" hidden="1" customWidth="1"/>
    <col min="15368" max="15369" width="19" customWidth="1"/>
    <col min="15370" max="15370" width="10" customWidth="1"/>
    <col min="15371" max="15371" width="16.33203125" customWidth="1"/>
    <col min="15372" max="15372" width="11.6640625" bestFit="1" customWidth="1"/>
    <col min="15373" max="15373" width="12.5546875" bestFit="1" customWidth="1"/>
    <col min="15374" max="15374" width="9.88671875" bestFit="1" customWidth="1"/>
    <col min="15375" max="15376" width="16.5546875" customWidth="1"/>
    <col min="15614" max="15614" width="2.88671875" customWidth="1"/>
    <col min="15615" max="15616" width="3.88671875" customWidth="1"/>
    <col min="15617" max="15617" width="1.44140625" customWidth="1"/>
    <col min="15618" max="15619" width="4.6640625" customWidth="1"/>
    <col min="15620" max="15620" width="67.5546875" customWidth="1"/>
    <col min="15621" max="15623" width="0" hidden="1" customWidth="1"/>
    <col min="15624" max="15625" width="19" customWidth="1"/>
    <col min="15626" max="15626" width="10" customWidth="1"/>
    <col min="15627" max="15627" width="16.33203125" customWidth="1"/>
    <col min="15628" max="15628" width="11.6640625" bestFit="1" customWidth="1"/>
    <col min="15629" max="15629" width="12.5546875" bestFit="1" customWidth="1"/>
    <col min="15630" max="15630" width="9.88671875" bestFit="1" customWidth="1"/>
    <col min="15631" max="15632" width="16.5546875" customWidth="1"/>
    <col min="15870" max="15870" width="2.88671875" customWidth="1"/>
    <col min="15871" max="15872" width="3.88671875" customWidth="1"/>
    <col min="15873" max="15873" width="1.44140625" customWidth="1"/>
    <col min="15874" max="15875" width="4.6640625" customWidth="1"/>
    <col min="15876" max="15876" width="67.5546875" customWidth="1"/>
    <col min="15877" max="15879" width="0" hidden="1" customWidth="1"/>
    <col min="15880" max="15881" width="19" customWidth="1"/>
    <col min="15882" max="15882" width="10" customWidth="1"/>
    <col min="15883" max="15883" width="16.33203125" customWidth="1"/>
    <col min="15884" max="15884" width="11.6640625" bestFit="1" customWidth="1"/>
    <col min="15885" max="15885" width="12.5546875" bestFit="1" customWidth="1"/>
    <col min="15886" max="15886" width="9.88671875" bestFit="1" customWidth="1"/>
    <col min="15887" max="15888" width="16.5546875" customWidth="1"/>
    <col min="16126" max="16126" width="2.88671875" customWidth="1"/>
    <col min="16127" max="16128" width="3.88671875" customWidth="1"/>
    <col min="16129" max="16129" width="1.44140625" customWidth="1"/>
    <col min="16130" max="16131" width="4.6640625" customWidth="1"/>
    <col min="16132" max="16132" width="67.5546875" customWidth="1"/>
    <col min="16133" max="16135" width="0" hidden="1" customWidth="1"/>
    <col min="16136" max="16137" width="19" customWidth="1"/>
    <col min="16138" max="16138" width="10" customWidth="1"/>
    <col min="16139" max="16139" width="16.33203125" customWidth="1"/>
    <col min="16140" max="16140" width="11.6640625" bestFit="1" customWidth="1"/>
    <col min="16141" max="16141" width="12.5546875" bestFit="1" customWidth="1"/>
    <col min="16142" max="16142" width="9.88671875" bestFit="1" customWidth="1"/>
    <col min="16143" max="16144" width="16.5546875" customWidth="1"/>
  </cols>
  <sheetData>
    <row r="2" spans="1:14" x14ac:dyDescent="0.3">
      <c r="A2" s="204" t="s">
        <v>225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x14ac:dyDescent="0.3">
      <c r="A3" s="210"/>
      <c r="B3" s="210"/>
      <c r="C3"/>
      <c r="D3"/>
      <c r="E3"/>
      <c r="G3"/>
    </row>
    <row r="4" spans="1:14" x14ac:dyDescent="0.3">
      <c r="A4" s="215" t="s">
        <v>248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x14ac:dyDescent="0.3">
      <c r="A5" s="210"/>
      <c r="B5" s="210"/>
      <c r="C5"/>
      <c r="D5"/>
      <c r="E5"/>
      <c r="G5"/>
    </row>
    <row r="6" spans="1:14" x14ac:dyDescent="0.3">
      <c r="A6"/>
      <c r="B6"/>
      <c r="C6"/>
      <c r="D6"/>
      <c r="E6"/>
      <c r="G6"/>
    </row>
    <row r="7" spans="1:14" x14ac:dyDescent="0.3">
      <c r="A7" s="206" t="s">
        <v>228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x14ac:dyDescent="0.3">
      <c r="A8" s="142"/>
      <c r="B8" s="18"/>
      <c r="C8" s="18"/>
      <c r="D8" s="18"/>
      <c r="E8" s="18"/>
      <c r="F8" s="18"/>
      <c r="G8" s="171"/>
      <c r="H8" s="18"/>
      <c r="I8" s="18"/>
      <c r="J8" s="19"/>
      <c r="K8" s="20"/>
      <c r="L8" s="21"/>
    </row>
    <row r="9" spans="1:14" x14ac:dyDescent="0.3">
      <c r="H9" s="26"/>
      <c r="I9" s="26"/>
      <c r="J9" s="27"/>
      <c r="K9" s="28"/>
      <c r="L9" s="176"/>
    </row>
    <row r="10" spans="1:14" x14ac:dyDescent="0.3">
      <c r="F10" s="29" t="s">
        <v>264</v>
      </c>
      <c r="H10"/>
    </row>
    <row r="11" spans="1:14" x14ac:dyDescent="0.3">
      <c r="G11" s="172"/>
      <c r="H11" s="32"/>
      <c r="I11" s="33"/>
      <c r="J11" s="34" t="s">
        <v>23</v>
      </c>
      <c r="K11" s="32"/>
      <c r="L11" s="34" t="s">
        <v>23</v>
      </c>
      <c r="M11" s="32"/>
      <c r="N11" s="34" t="s">
        <v>23</v>
      </c>
    </row>
    <row r="12" spans="1:14" s="36" customFormat="1" x14ac:dyDescent="0.3">
      <c r="A12" s="88" t="s">
        <v>126</v>
      </c>
      <c r="B12" s="35"/>
      <c r="C12" s="35"/>
      <c r="D12" s="35"/>
      <c r="E12" s="35"/>
      <c r="G12" s="173" t="s">
        <v>24</v>
      </c>
      <c r="H12" s="37" t="s">
        <v>25</v>
      </c>
      <c r="I12" s="37" t="s">
        <v>26</v>
      </c>
      <c r="J12" s="38" t="s">
        <v>27</v>
      </c>
      <c r="K12" s="37" t="s">
        <v>28</v>
      </c>
      <c r="L12" s="38" t="s">
        <v>29</v>
      </c>
      <c r="M12" s="37" t="s">
        <v>259</v>
      </c>
      <c r="N12" s="38" t="s">
        <v>260</v>
      </c>
    </row>
    <row r="13" spans="1:14" x14ac:dyDescent="0.3">
      <c r="H13" s="24"/>
      <c r="I13" s="24"/>
      <c r="J13" s="39"/>
      <c r="K13" s="24"/>
      <c r="L13" s="40"/>
    </row>
    <row r="14" spans="1:14" x14ac:dyDescent="0.3">
      <c r="B14" s="41" t="s">
        <v>30</v>
      </c>
      <c r="C14" s="41"/>
      <c r="D14" s="41"/>
      <c r="E14" s="41"/>
      <c r="F14" s="41"/>
      <c r="I14" s="24"/>
      <c r="J14" s="39"/>
      <c r="K14" s="24"/>
      <c r="L14" s="40"/>
    </row>
    <row r="15" spans="1:14" x14ac:dyDescent="0.3">
      <c r="B15" s="42" t="s">
        <v>31</v>
      </c>
      <c r="C15" s="42"/>
      <c r="D15" s="42"/>
      <c r="E15" s="42"/>
      <c r="F15" s="42"/>
      <c r="G15" s="43">
        <f>+G16</f>
        <v>6427.8</v>
      </c>
      <c r="H15" s="43">
        <f>+H16</f>
        <v>13500</v>
      </c>
      <c r="I15" s="43">
        <f>+I16</f>
        <v>13500</v>
      </c>
      <c r="J15" s="44">
        <f>+I15/H15-1</f>
        <v>0</v>
      </c>
      <c r="K15" s="43">
        <f>+K16</f>
        <v>14175</v>
      </c>
      <c r="L15" s="34">
        <f>+K15/I15-1</f>
        <v>5.0000000000000044E-2</v>
      </c>
      <c r="M15" s="43">
        <f>+M16</f>
        <v>14850</v>
      </c>
      <c r="N15" s="34">
        <f>+M15/K15-1</f>
        <v>4.7619047619047672E-2</v>
      </c>
    </row>
    <row r="16" spans="1:14" x14ac:dyDescent="0.3">
      <c r="A16" s="143"/>
      <c r="B16" s="42"/>
      <c r="C16" s="42" t="s">
        <v>33</v>
      </c>
      <c r="D16" s="42"/>
      <c r="E16" s="42"/>
      <c r="F16" s="42"/>
      <c r="G16" s="76">
        <v>6427.8</v>
      </c>
      <c r="H16" s="24">
        <f t="shared" ref="H16:M17" si="0">+H17</f>
        <v>13500</v>
      </c>
      <c r="I16" s="24">
        <f t="shared" si="0"/>
        <v>13500</v>
      </c>
      <c r="J16" s="45">
        <f>+I16/H16-1</f>
        <v>0</v>
      </c>
      <c r="K16" s="24">
        <f t="shared" si="0"/>
        <v>14175</v>
      </c>
      <c r="L16" s="55">
        <f>+K16/I16-1</f>
        <v>5.0000000000000044E-2</v>
      </c>
      <c r="M16" s="24">
        <v>14850</v>
      </c>
      <c r="N16" s="45">
        <f>+M16/K16-1</f>
        <v>4.7619047619047672E-2</v>
      </c>
    </row>
    <row r="17" spans="1:16" x14ac:dyDescent="0.3">
      <c r="A17" s="144"/>
      <c r="B17" s="47"/>
      <c r="C17" s="47"/>
      <c r="D17" s="47" t="s">
        <v>34</v>
      </c>
      <c r="E17" s="47"/>
      <c r="F17" s="46"/>
      <c r="G17" s="179">
        <v>6427.8</v>
      </c>
      <c r="H17" s="50">
        <f t="shared" si="0"/>
        <v>13500</v>
      </c>
      <c r="I17" s="50">
        <f t="shared" si="0"/>
        <v>13500</v>
      </c>
      <c r="J17" s="51">
        <f>+I17/H17-1</f>
        <v>0</v>
      </c>
      <c r="K17" s="50">
        <f t="shared" si="0"/>
        <v>14175</v>
      </c>
      <c r="L17" s="57">
        <f>+K17/I17-1</f>
        <v>5.0000000000000044E-2</v>
      </c>
      <c r="M17" s="50">
        <f t="shared" si="0"/>
        <v>14850</v>
      </c>
      <c r="N17" s="51">
        <v>-2.0841472584507414E-3</v>
      </c>
    </row>
    <row r="18" spans="1:16" x14ac:dyDescent="0.3">
      <c r="A18" s="89" t="s">
        <v>170</v>
      </c>
      <c r="E18" s="23" t="s">
        <v>127</v>
      </c>
      <c r="F18" s="53" t="s">
        <v>138</v>
      </c>
      <c r="G18" s="76">
        <v>6427.8</v>
      </c>
      <c r="H18" s="24">
        <v>13500</v>
      </c>
      <c r="I18" s="24">
        <v>13500</v>
      </c>
      <c r="J18" s="45">
        <f>+I18/H18-1</f>
        <v>0</v>
      </c>
      <c r="K18" s="24">
        <v>14175</v>
      </c>
      <c r="L18" s="55">
        <f>+K18/I18-1</f>
        <v>5.0000000000000044E-2</v>
      </c>
      <c r="M18" s="24">
        <v>14850</v>
      </c>
      <c r="N18" s="45">
        <f>+M18/K18-1</f>
        <v>4.7619047619047672E-2</v>
      </c>
    </row>
    <row r="19" spans="1:16" s="54" customFormat="1" ht="14.25" customHeight="1" x14ac:dyDescent="0.3">
      <c r="A19" s="91"/>
      <c r="B19" s="41" t="s">
        <v>35</v>
      </c>
      <c r="C19" s="41"/>
      <c r="D19" s="41"/>
      <c r="E19" s="41"/>
      <c r="F19" s="41"/>
      <c r="G19" s="25"/>
      <c r="H19" s="16"/>
      <c r="I19" s="24"/>
      <c r="J19" s="45"/>
      <c r="K19" s="24"/>
      <c r="L19" s="55"/>
      <c r="M19" s="24"/>
      <c r="N19" s="55"/>
      <c r="O19" s="56"/>
      <c r="P19" s="56"/>
    </row>
    <row r="20" spans="1:16" x14ac:dyDescent="0.3">
      <c r="B20" s="42" t="s">
        <v>36</v>
      </c>
      <c r="C20" s="42"/>
      <c r="D20" s="42"/>
      <c r="E20" s="42"/>
      <c r="F20" s="42"/>
      <c r="G20" s="43">
        <f>+G21+G58+G83+G90+G105+G114+G127+G140+G149+G158+G182+G195+G200+G205+G218</f>
        <v>1829241.46</v>
      </c>
      <c r="H20" s="43">
        <f>+H21+H58+H83+H90+H105+H114+H127+H140+H149+H158+H182+H195+H200+H205+H218</f>
        <v>3677600</v>
      </c>
      <c r="I20" s="43">
        <f>+I21+I58+I83+I90+I105+I114+I127+I140+I149+I158+I182+I195+I200+I205+I218+I233</f>
        <v>3720835</v>
      </c>
      <c r="J20" s="44">
        <f t="shared" ref="J20:J27" si="1">+I20/H20-1</f>
        <v>1.1756308462040455E-2</v>
      </c>
      <c r="K20" s="43">
        <f>+K21+K58+K83+K90+K105+K114+K127+K140+K149+K158+K182+K195+K200+K205+K218+K233</f>
        <v>3878128</v>
      </c>
      <c r="L20" s="34">
        <f t="shared" ref="L20:L27" si="2">+K20/I20-1</f>
        <v>4.2273575689327769E-2</v>
      </c>
      <c r="M20" s="43">
        <f>+M21+M58+M83+M90+M105+M114+M127+M140+M149+M158+M182+M195+M200+M205+M218+M233</f>
        <v>3745800</v>
      </c>
      <c r="N20" s="34">
        <f t="shared" ref="N20:N27" si="3">+M20/K20-1</f>
        <v>-3.4121617440167062E-2</v>
      </c>
    </row>
    <row r="21" spans="1:16" x14ac:dyDescent="0.3">
      <c r="A21" s="143"/>
      <c r="B21" s="42"/>
      <c r="C21" s="42" t="s">
        <v>37</v>
      </c>
      <c r="D21" s="42"/>
      <c r="E21" s="42"/>
      <c r="F21" s="42"/>
      <c r="G21" s="24">
        <f>+G22+G26+G30+G34+G36+G38+G41+G44+G47+G49+G51+G53+G55+G32</f>
        <v>414028.24</v>
      </c>
      <c r="H21" s="24">
        <f>+H22+H26+H30+H34+H36+H38+H41+H44+H47+H49+H51+H53+H55+H32+H28</f>
        <v>873900</v>
      </c>
      <c r="I21" s="24">
        <f>+I22+I26+I30+I34+I36+I38+I41+I44+I47+I49+I51+I53+I55+I32+I28</f>
        <v>701595</v>
      </c>
      <c r="J21" s="45">
        <f t="shared" si="1"/>
        <v>-0.19716786817713694</v>
      </c>
      <c r="K21" s="24">
        <f>+K22+K26+K30+K34+K36+K38+K41+K44+K47+K49+K51+K53+K55+K32</f>
        <v>772483</v>
      </c>
      <c r="L21" s="55">
        <f t="shared" si="2"/>
        <v>0.10103834833486558</v>
      </c>
      <c r="M21" s="24">
        <f>+M22+M26+M30+M34+M36+M38+M41+M44+M47+M49+M51+M53+M55+M32</f>
        <v>744895</v>
      </c>
      <c r="N21" s="45">
        <f t="shared" si="3"/>
        <v>-3.5713407285338339E-2</v>
      </c>
    </row>
    <row r="22" spans="1:16" x14ac:dyDescent="0.3">
      <c r="A22" s="144"/>
      <c r="B22" s="47"/>
      <c r="C22" s="47"/>
      <c r="D22" s="47" t="s">
        <v>38</v>
      </c>
      <c r="E22" s="47"/>
      <c r="F22" s="46"/>
      <c r="G22" s="48">
        <f>+SUM(G23:G25)</f>
        <v>190981.66999999998</v>
      </c>
      <c r="H22" s="48">
        <f>+SUM(H23:H25)</f>
        <v>254500</v>
      </c>
      <c r="I22" s="48">
        <f>+SUM(I23:I25)</f>
        <v>275475</v>
      </c>
      <c r="J22" s="51">
        <f t="shared" si="1"/>
        <v>8.2416502946954795E-2</v>
      </c>
      <c r="K22" s="48">
        <f>+SUM(K23:K25)</f>
        <v>287450</v>
      </c>
      <c r="L22" s="57">
        <f t="shared" si="2"/>
        <v>4.3470369362011096E-2</v>
      </c>
      <c r="M22" s="48">
        <f>+SUM(M23:M25)</f>
        <v>289025</v>
      </c>
      <c r="N22" s="57">
        <f t="shared" si="3"/>
        <v>5.4792137763088888E-3</v>
      </c>
    </row>
    <row r="23" spans="1:16" x14ac:dyDescent="0.3">
      <c r="A23" s="89" t="s">
        <v>170</v>
      </c>
      <c r="E23" s="23" t="s">
        <v>128</v>
      </c>
      <c r="F23" s="53" t="s">
        <v>137</v>
      </c>
      <c r="G23" s="180">
        <v>111423.42</v>
      </c>
      <c r="H23" s="24">
        <v>165000</v>
      </c>
      <c r="I23" s="24">
        <v>181500.00000000003</v>
      </c>
      <c r="J23" s="45">
        <f t="shared" si="1"/>
        <v>0.10000000000000009</v>
      </c>
      <c r="K23" s="24">
        <v>190600</v>
      </c>
      <c r="L23" s="55">
        <f t="shared" si="2"/>
        <v>5.0137741046831774E-2</v>
      </c>
      <c r="M23" s="24">
        <v>190575.00000000003</v>
      </c>
      <c r="N23" s="45">
        <f t="shared" si="3"/>
        <v>-1.3116474291696711E-4</v>
      </c>
    </row>
    <row r="24" spans="1:16" x14ac:dyDescent="0.3">
      <c r="A24" s="89" t="s">
        <v>170</v>
      </c>
      <c r="E24" s="23" t="s">
        <v>127</v>
      </c>
      <c r="F24" s="53" t="s">
        <v>138</v>
      </c>
      <c r="G24" s="180">
        <v>79558.25</v>
      </c>
      <c r="H24" s="24">
        <v>88500</v>
      </c>
      <c r="I24" s="24">
        <v>92925</v>
      </c>
      <c r="J24" s="45">
        <f t="shared" si="1"/>
        <v>5.0000000000000044E-2</v>
      </c>
      <c r="K24" s="24">
        <v>95750</v>
      </c>
      <c r="L24" s="55">
        <f t="shared" si="2"/>
        <v>3.0400860909335581E-2</v>
      </c>
      <c r="M24" s="24">
        <v>97350</v>
      </c>
      <c r="N24" s="45">
        <f t="shared" si="3"/>
        <v>1.6710182767623927E-2</v>
      </c>
    </row>
    <row r="25" spans="1:16" x14ac:dyDescent="0.3">
      <c r="A25" s="89" t="s">
        <v>170</v>
      </c>
      <c r="E25" s="23" t="s">
        <v>129</v>
      </c>
      <c r="F25" s="53" t="s">
        <v>139</v>
      </c>
      <c r="G25" s="25">
        <v>0</v>
      </c>
      <c r="H25" s="24">
        <v>1000</v>
      </c>
      <c r="I25" s="24">
        <v>1050</v>
      </c>
      <c r="J25" s="45">
        <f t="shared" si="1"/>
        <v>5.0000000000000044E-2</v>
      </c>
      <c r="K25" s="24">
        <v>1100</v>
      </c>
      <c r="L25" s="55">
        <f t="shared" si="2"/>
        <v>4.7619047619047672E-2</v>
      </c>
      <c r="M25" s="24">
        <v>1100</v>
      </c>
      <c r="N25" s="45">
        <f t="shared" si="3"/>
        <v>0</v>
      </c>
    </row>
    <row r="26" spans="1:16" x14ac:dyDescent="0.3">
      <c r="A26" s="144"/>
      <c r="B26" s="47"/>
      <c r="C26" s="47"/>
      <c r="D26" s="47" t="s">
        <v>39</v>
      </c>
      <c r="E26" s="47"/>
      <c r="F26" s="46"/>
      <c r="G26" s="50">
        <f>+G27</f>
        <v>0</v>
      </c>
      <c r="H26" s="50">
        <f>+H27</f>
        <v>2000</v>
      </c>
      <c r="I26" s="50">
        <f>+I27</f>
        <v>2100</v>
      </c>
      <c r="J26" s="51">
        <f t="shared" si="1"/>
        <v>5.0000000000000044E-2</v>
      </c>
      <c r="K26" s="50">
        <f>+K27</f>
        <v>2163</v>
      </c>
      <c r="L26" s="57">
        <f t="shared" si="2"/>
        <v>3.0000000000000027E-2</v>
      </c>
      <c r="M26" s="50">
        <f>+M27</f>
        <v>2200</v>
      </c>
      <c r="N26" s="57">
        <f t="shared" si="3"/>
        <v>1.710587147480358E-2</v>
      </c>
    </row>
    <row r="27" spans="1:16" x14ac:dyDescent="0.3">
      <c r="A27" s="89" t="s">
        <v>170</v>
      </c>
      <c r="E27" s="23" t="s">
        <v>127</v>
      </c>
      <c r="F27" s="53" t="s">
        <v>138</v>
      </c>
      <c r="G27" s="25">
        <v>0</v>
      </c>
      <c r="H27" s="58">
        <v>2000</v>
      </c>
      <c r="I27" s="24">
        <v>2100</v>
      </c>
      <c r="J27" s="45">
        <f t="shared" si="1"/>
        <v>5.0000000000000044E-2</v>
      </c>
      <c r="K27" s="24">
        <f>+I27*1.03</f>
        <v>2163</v>
      </c>
      <c r="L27" s="55">
        <f t="shared" si="2"/>
        <v>3.0000000000000027E-2</v>
      </c>
      <c r="M27" s="24">
        <v>2200</v>
      </c>
      <c r="N27" s="45">
        <f t="shared" si="3"/>
        <v>1.710587147480358E-2</v>
      </c>
    </row>
    <row r="28" spans="1:16" x14ac:dyDescent="0.3">
      <c r="A28" s="144"/>
      <c r="B28" s="47"/>
      <c r="C28" s="47"/>
      <c r="D28" s="47" t="s">
        <v>230</v>
      </c>
      <c r="E28" s="47"/>
      <c r="F28" s="46"/>
      <c r="G28" s="50">
        <f>+G29</f>
        <v>0</v>
      </c>
      <c r="H28" s="50">
        <f>+H29</f>
        <v>53000</v>
      </c>
      <c r="I28" s="50">
        <f>+I29</f>
        <v>0</v>
      </c>
      <c r="J28" s="51"/>
      <c r="K28" s="50">
        <f>+K29</f>
        <v>0</v>
      </c>
      <c r="L28" s="57"/>
      <c r="M28" s="50">
        <f>+M29</f>
        <v>0</v>
      </c>
      <c r="N28" s="57"/>
    </row>
    <row r="29" spans="1:16" x14ac:dyDescent="0.3">
      <c r="A29" s="89" t="s">
        <v>170</v>
      </c>
      <c r="E29" s="23" t="s">
        <v>127</v>
      </c>
      <c r="F29" s="53" t="s">
        <v>138</v>
      </c>
      <c r="G29" s="25">
        <v>0</v>
      </c>
      <c r="H29" s="58">
        <v>53000</v>
      </c>
      <c r="I29" s="24">
        <v>0</v>
      </c>
      <c r="J29" s="45"/>
      <c r="K29" s="24">
        <v>0</v>
      </c>
      <c r="L29" s="55"/>
      <c r="M29" s="24">
        <v>0</v>
      </c>
      <c r="N29" s="45"/>
    </row>
    <row r="30" spans="1:16" x14ac:dyDescent="0.3">
      <c r="A30" s="144"/>
      <c r="B30" s="47"/>
      <c r="C30" s="47"/>
      <c r="D30" s="47" t="s">
        <v>40</v>
      </c>
      <c r="E30" s="47"/>
      <c r="F30" s="46"/>
      <c r="G30" s="50">
        <f>+G31</f>
        <v>26205.07</v>
      </c>
      <c r="H30" s="50">
        <f>+H31</f>
        <v>50000</v>
      </c>
      <c r="I30" s="50">
        <f>+I31</f>
        <v>60000</v>
      </c>
      <c r="J30" s="51">
        <f t="shared" ref="J30:J55" si="4">+I30/H30-1</f>
        <v>0.19999999999999996</v>
      </c>
      <c r="K30" s="50">
        <f>+K31</f>
        <v>65000</v>
      </c>
      <c r="L30" s="57">
        <f t="shared" ref="L30:L55" si="5">+K30/I30-1</f>
        <v>8.3333333333333259E-2</v>
      </c>
      <c r="M30" s="50">
        <f>+M31</f>
        <v>65000</v>
      </c>
      <c r="N30" s="57">
        <f t="shared" ref="N30:N37" si="6">+M30/K30-1</f>
        <v>0</v>
      </c>
    </row>
    <row r="31" spans="1:16" ht="28.8" x14ac:dyDescent="0.3">
      <c r="A31" s="89" t="s">
        <v>171</v>
      </c>
      <c r="E31" s="23" t="s">
        <v>127</v>
      </c>
      <c r="F31" s="53" t="s">
        <v>138</v>
      </c>
      <c r="G31" s="76">
        <v>26205.07</v>
      </c>
      <c r="H31" s="24">
        <v>50000</v>
      </c>
      <c r="I31" s="24">
        <v>60000</v>
      </c>
      <c r="J31" s="45">
        <f t="shared" si="4"/>
        <v>0.19999999999999996</v>
      </c>
      <c r="K31" s="24">
        <v>65000</v>
      </c>
      <c r="L31" s="55">
        <f t="shared" si="5"/>
        <v>8.3333333333333259E-2</v>
      </c>
      <c r="M31" s="24">
        <v>65000</v>
      </c>
      <c r="N31" s="45">
        <f t="shared" si="6"/>
        <v>0</v>
      </c>
    </row>
    <row r="32" spans="1:16" x14ac:dyDescent="0.3">
      <c r="A32" s="145"/>
      <c r="B32" s="47"/>
      <c r="C32" s="47"/>
      <c r="D32" s="59" t="s">
        <v>41</v>
      </c>
      <c r="E32" s="59"/>
      <c r="F32" s="60"/>
      <c r="G32" s="50">
        <f>+G33</f>
        <v>0</v>
      </c>
      <c r="H32" s="50">
        <f>+H33</f>
        <v>62200</v>
      </c>
      <c r="I32" s="50">
        <f>+I33</f>
        <v>62200</v>
      </c>
      <c r="J32" s="51">
        <f t="shared" si="4"/>
        <v>0</v>
      </c>
      <c r="K32" s="61">
        <f>+K33</f>
        <v>62200</v>
      </c>
      <c r="L32" s="57">
        <f t="shared" si="5"/>
        <v>0</v>
      </c>
      <c r="M32" s="61">
        <f>+M33</f>
        <v>62200</v>
      </c>
      <c r="N32" s="57">
        <f t="shared" si="6"/>
        <v>0</v>
      </c>
    </row>
    <row r="33" spans="1:16" x14ac:dyDescent="0.3">
      <c r="A33" s="89" t="s">
        <v>170</v>
      </c>
      <c r="E33" s="23" t="s">
        <v>127</v>
      </c>
      <c r="F33" s="53" t="s">
        <v>138</v>
      </c>
      <c r="G33" s="25">
        <v>0</v>
      </c>
      <c r="H33" s="24">
        <v>62200</v>
      </c>
      <c r="I33" s="24">
        <v>62200</v>
      </c>
      <c r="J33" s="45">
        <f t="shared" si="4"/>
        <v>0</v>
      </c>
      <c r="K33" s="24">
        <v>62200</v>
      </c>
      <c r="L33" s="55">
        <f t="shared" si="5"/>
        <v>0</v>
      </c>
      <c r="M33" s="24">
        <v>62200</v>
      </c>
      <c r="N33" s="45">
        <f t="shared" si="6"/>
        <v>0</v>
      </c>
    </row>
    <row r="34" spans="1:16" x14ac:dyDescent="0.3">
      <c r="A34" s="144"/>
      <c r="B34" s="47"/>
      <c r="C34" s="47"/>
      <c r="D34" s="47" t="s">
        <v>151</v>
      </c>
      <c r="E34" s="47"/>
      <c r="F34" s="46"/>
      <c r="G34" s="50">
        <f>+G35</f>
        <v>4000</v>
      </c>
      <c r="H34" s="50">
        <f>+H35</f>
        <v>6000</v>
      </c>
      <c r="I34" s="50">
        <f>+I35</f>
        <v>10000</v>
      </c>
      <c r="J34" s="51">
        <f t="shared" si="4"/>
        <v>0.66666666666666674</v>
      </c>
      <c r="K34" s="61">
        <f>+K35</f>
        <v>11000</v>
      </c>
      <c r="L34" s="57">
        <f t="shared" si="5"/>
        <v>0.10000000000000009</v>
      </c>
      <c r="M34" s="61">
        <v>11000</v>
      </c>
      <c r="N34" s="57">
        <f t="shared" si="6"/>
        <v>0</v>
      </c>
    </row>
    <row r="35" spans="1:16" ht="28.8" x14ac:dyDescent="0.3">
      <c r="A35" s="89" t="s">
        <v>171</v>
      </c>
      <c r="E35" s="23" t="s">
        <v>127</v>
      </c>
      <c r="F35" s="53" t="s">
        <v>138</v>
      </c>
      <c r="G35" s="181">
        <v>4000</v>
      </c>
      <c r="H35" s="24">
        <v>6000</v>
      </c>
      <c r="I35" s="24">
        <v>10000</v>
      </c>
      <c r="J35" s="45">
        <f t="shared" si="4"/>
        <v>0.66666666666666674</v>
      </c>
      <c r="K35" s="24">
        <v>11000</v>
      </c>
      <c r="L35" s="55">
        <f t="shared" si="5"/>
        <v>0.10000000000000009</v>
      </c>
      <c r="M35" s="24">
        <v>6600</v>
      </c>
      <c r="N35" s="45">
        <f t="shared" si="6"/>
        <v>-0.4</v>
      </c>
    </row>
    <row r="36" spans="1:16" x14ac:dyDescent="0.3">
      <c r="A36" s="144"/>
      <c r="B36" s="47"/>
      <c r="C36" s="47"/>
      <c r="D36" s="62" t="s">
        <v>42</v>
      </c>
      <c r="E36" s="62"/>
      <c r="F36" s="62"/>
      <c r="G36" s="61">
        <f>+G37</f>
        <v>0</v>
      </c>
      <c r="H36" s="61">
        <f>+H37</f>
        <v>3000</v>
      </c>
      <c r="I36" s="61">
        <f>+I37</f>
        <v>3150</v>
      </c>
      <c r="J36" s="51">
        <f t="shared" si="4"/>
        <v>5.0000000000000044E-2</v>
      </c>
      <c r="K36" s="61">
        <f>+K37</f>
        <v>5000</v>
      </c>
      <c r="L36" s="57">
        <f t="shared" si="5"/>
        <v>0.58730158730158721</v>
      </c>
      <c r="M36" s="61">
        <f>+M37</f>
        <v>5000</v>
      </c>
      <c r="N36" s="57">
        <f t="shared" si="6"/>
        <v>0</v>
      </c>
    </row>
    <row r="37" spans="1:16" ht="28.8" x14ac:dyDescent="0.3">
      <c r="A37" s="89" t="s">
        <v>171</v>
      </c>
      <c r="E37" s="23" t="s">
        <v>130</v>
      </c>
      <c r="F37" s="53" t="s">
        <v>145</v>
      </c>
      <c r="G37" s="25">
        <v>0</v>
      </c>
      <c r="H37" s="24">
        <v>3000</v>
      </c>
      <c r="I37" s="24">
        <v>3150</v>
      </c>
      <c r="J37" s="45">
        <f t="shared" si="4"/>
        <v>5.0000000000000044E-2</v>
      </c>
      <c r="K37" s="24">
        <v>5000</v>
      </c>
      <c r="L37" s="55">
        <f t="shared" si="5"/>
        <v>0.58730158730158721</v>
      </c>
      <c r="M37" s="24">
        <v>5000</v>
      </c>
      <c r="N37" s="45">
        <f t="shared" si="6"/>
        <v>0</v>
      </c>
    </row>
    <row r="38" spans="1:16" x14ac:dyDescent="0.3">
      <c r="A38" s="144"/>
      <c r="B38" s="47"/>
      <c r="C38" s="47"/>
      <c r="D38" s="62" t="s">
        <v>153</v>
      </c>
      <c r="E38" s="62"/>
      <c r="F38" s="62"/>
      <c r="G38" s="61">
        <f>+G39+G40</f>
        <v>764.8</v>
      </c>
      <c r="H38" s="61">
        <f>+H39+H40</f>
        <v>26000</v>
      </c>
      <c r="I38" s="61">
        <f>+I39+I40</f>
        <v>0</v>
      </c>
      <c r="J38" s="51">
        <f t="shared" si="4"/>
        <v>-1</v>
      </c>
      <c r="K38" s="61">
        <f>+K39+K40</f>
        <v>0</v>
      </c>
      <c r="L38" s="57"/>
      <c r="M38" s="61">
        <f>+M39+M40</f>
        <v>0</v>
      </c>
      <c r="N38" s="57"/>
    </row>
    <row r="39" spans="1:16" ht="28.8" x14ac:dyDescent="0.3">
      <c r="A39" s="90" t="s">
        <v>173</v>
      </c>
      <c r="B39" s="63"/>
      <c r="E39" s="23" t="s">
        <v>129</v>
      </c>
      <c r="F39" s="53" t="s">
        <v>139</v>
      </c>
      <c r="G39" s="25">
        <v>764.8</v>
      </c>
      <c r="H39" s="24">
        <v>1000</v>
      </c>
      <c r="I39" s="24">
        <v>0</v>
      </c>
      <c r="J39" s="45">
        <f t="shared" si="4"/>
        <v>-1</v>
      </c>
      <c r="K39" s="24">
        <v>0</v>
      </c>
      <c r="L39" s="55"/>
      <c r="M39" s="24">
        <v>0</v>
      </c>
      <c r="N39" s="45"/>
    </row>
    <row r="40" spans="1:16" s="64" customFormat="1" ht="27.75" customHeight="1" x14ac:dyDescent="0.3">
      <c r="A40" s="90" t="s">
        <v>177</v>
      </c>
      <c r="B40" s="63"/>
      <c r="C40" s="63"/>
      <c r="E40" s="23" t="s">
        <v>131</v>
      </c>
      <c r="F40" s="66" t="s">
        <v>146</v>
      </c>
      <c r="G40" s="25">
        <v>0</v>
      </c>
      <c r="H40" s="24">
        <v>25000</v>
      </c>
      <c r="I40" s="24">
        <v>0</v>
      </c>
      <c r="J40" s="45">
        <f t="shared" si="4"/>
        <v>-1</v>
      </c>
      <c r="K40" s="24">
        <v>0</v>
      </c>
      <c r="L40" s="55"/>
      <c r="M40" s="24">
        <v>0</v>
      </c>
      <c r="N40" s="45"/>
      <c r="O40" s="67"/>
      <c r="P40" s="67"/>
    </row>
    <row r="41" spans="1:16" x14ac:dyDescent="0.3">
      <c r="A41" s="144"/>
      <c r="B41" s="47"/>
      <c r="C41" s="47"/>
      <c r="D41" s="62" t="s">
        <v>231</v>
      </c>
      <c r="E41" s="62"/>
      <c r="F41" s="62"/>
      <c r="G41" s="61">
        <f>+G42+G43</f>
        <v>0</v>
      </c>
      <c r="H41" s="61">
        <f>+H42+H43</f>
        <v>140000</v>
      </c>
      <c r="I41" s="61">
        <f>+I42+I43</f>
        <v>0</v>
      </c>
      <c r="J41" s="51">
        <f t="shared" si="4"/>
        <v>-1</v>
      </c>
      <c r="K41" s="61">
        <f>+K42+K43</f>
        <v>0</v>
      </c>
      <c r="L41" s="57"/>
      <c r="M41" s="61">
        <f>+M42+M43</f>
        <v>0</v>
      </c>
      <c r="N41" s="57"/>
    </row>
    <row r="42" spans="1:16" ht="28.8" x14ac:dyDescent="0.3">
      <c r="A42" s="90" t="s">
        <v>173</v>
      </c>
      <c r="B42" s="63"/>
      <c r="E42" s="23" t="s">
        <v>129</v>
      </c>
      <c r="F42" s="53" t="s">
        <v>139</v>
      </c>
      <c r="G42" s="25">
        <v>0</v>
      </c>
      <c r="H42" s="24">
        <v>10000</v>
      </c>
      <c r="I42" s="24">
        <v>0</v>
      </c>
      <c r="J42" s="45">
        <f t="shared" si="4"/>
        <v>-1</v>
      </c>
      <c r="K42" s="24">
        <v>0</v>
      </c>
      <c r="L42" s="55"/>
      <c r="M42" s="24">
        <v>0</v>
      </c>
      <c r="N42" s="45"/>
    </row>
    <row r="43" spans="1:16" s="64" customFormat="1" ht="27.75" customHeight="1" x14ac:dyDescent="0.3">
      <c r="A43" s="90" t="s">
        <v>177</v>
      </c>
      <c r="B43" s="63"/>
      <c r="C43" s="63"/>
      <c r="E43" s="23" t="s">
        <v>131</v>
      </c>
      <c r="F43" s="66" t="s">
        <v>146</v>
      </c>
      <c r="G43" s="25">
        <v>0</v>
      </c>
      <c r="H43" s="24">
        <v>130000</v>
      </c>
      <c r="I43" s="24">
        <v>0</v>
      </c>
      <c r="J43" s="45">
        <f t="shared" si="4"/>
        <v>-1</v>
      </c>
      <c r="K43" s="24">
        <v>0</v>
      </c>
      <c r="L43" s="55"/>
      <c r="M43" s="24">
        <v>0</v>
      </c>
      <c r="N43" s="45"/>
      <c r="O43" s="67"/>
      <c r="P43" s="67"/>
    </row>
    <row r="44" spans="1:16" x14ac:dyDescent="0.3">
      <c r="A44" s="144"/>
      <c r="B44" s="47"/>
      <c r="C44" s="47"/>
      <c r="D44" s="62" t="s">
        <v>43</v>
      </c>
      <c r="E44" s="62"/>
      <c r="F44" s="62"/>
      <c r="G44" s="61">
        <f>+G45+G46</f>
        <v>131200.25</v>
      </c>
      <c r="H44" s="61">
        <f>+H45+H46</f>
        <v>150000</v>
      </c>
      <c r="I44" s="61">
        <f>+I45+I46</f>
        <v>150000</v>
      </c>
      <c r="J44" s="51">
        <f t="shared" si="4"/>
        <v>0</v>
      </c>
      <c r="K44" s="61">
        <f>+K45+K46</f>
        <v>201000</v>
      </c>
      <c r="L44" s="57">
        <f>+K44/I44-1</f>
        <v>0.34000000000000008</v>
      </c>
      <c r="M44" s="61">
        <f>+M45+M46</f>
        <v>165000.00000000003</v>
      </c>
      <c r="N44" s="57">
        <f t="shared" ref="N44:N55" si="7">+M44/K44-1</f>
        <v>-0.17910447761194015</v>
      </c>
    </row>
    <row r="45" spans="1:16" x14ac:dyDescent="0.3">
      <c r="A45" s="89" t="s">
        <v>170</v>
      </c>
      <c r="B45" s="63"/>
      <c r="E45" s="23" t="s">
        <v>127</v>
      </c>
      <c r="F45" s="53" t="s">
        <v>138</v>
      </c>
      <c r="G45" s="25">
        <v>0</v>
      </c>
      <c r="H45" s="24">
        <v>50000</v>
      </c>
      <c r="I45" s="24">
        <v>50000</v>
      </c>
      <c r="J45" s="45">
        <f t="shared" si="4"/>
        <v>0</v>
      </c>
      <c r="K45" s="24">
        <v>51000</v>
      </c>
      <c r="L45" s="55">
        <f t="shared" si="5"/>
        <v>2.0000000000000018E-2</v>
      </c>
      <c r="M45" s="24">
        <v>55000.000000000007</v>
      </c>
      <c r="N45" s="45">
        <f t="shared" si="7"/>
        <v>7.8431372549019773E-2</v>
      </c>
    </row>
    <row r="46" spans="1:16" ht="43.2" customHeight="1" x14ac:dyDescent="0.3">
      <c r="A46" s="90" t="s">
        <v>180</v>
      </c>
      <c r="B46" s="63"/>
      <c r="E46" s="23" t="s">
        <v>130</v>
      </c>
      <c r="F46" s="53" t="s">
        <v>145</v>
      </c>
      <c r="G46" s="181">
        <v>131200.25</v>
      </c>
      <c r="H46" s="24">
        <v>100000</v>
      </c>
      <c r="I46" s="24">
        <v>100000</v>
      </c>
      <c r="J46" s="45">
        <f t="shared" si="4"/>
        <v>0</v>
      </c>
      <c r="K46" s="24">
        <v>150000</v>
      </c>
      <c r="L46" s="55">
        <f t="shared" si="5"/>
        <v>0.5</v>
      </c>
      <c r="M46" s="24">
        <v>110000.00000000001</v>
      </c>
      <c r="N46" s="45">
        <f t="shared" si="7"/>
        <v>-0.26666666666666661</v>
      </c>
    </row>
    <row r="47" spans="1:16" x14ac:dyDescent="0.3">
      <c r="A47" s="144"/>
      <c r="B47" s="47"/>
      <c r="C47" s="47"/>
      <c r="D47" s="62" t="s">
        <v>44</v>
      </c>
      <c r="E47" s="62"/>
      <c r="F47" s="62"/>
      <c r="G47" s="50">
        <f>+G48</f>
        <v>0</v>
      </c>
      <c r="H47" s="50">
        <f>+H48</f>
        <v>2700</v>
      </c>
      <c r="I47" s="50">
        <f>+I48</f>
        <v>2835</v>
      </c>
      <c r="J47" s="51">
        <f t="shared" si="4"/>
        <v>5.0000000000000044E-2</v>
      </c>
      <c r="K47" s="50">
        <f>+K48</f>
        <v>2835</v>
      </c>
      <c r="L47" s="57">
        <f t="shared" si="5"/>
        <v>0</v>
      </c>
      <c r="M47" s="50">
        <f>+M48</f>
        <v>2970</v>
      </c>
      <c r="N47" s="57">
        <f t="shared" si="7"/>
        <v>4.7619047619047672E-2</v>
      </c>
    </row>
    <row r="48" spans="1:16" x14ac:dyDescent="0.3">
      <c r="A48" s="91" t="s">
        <v>174</v>
      </c>
      <c r="B48" s="63"/>
      <c r="D48" s="52"/>
      <c r="E48" s="23" t="s">
        <v>132</v>
      </c>
      <c r="F48" s="53" t="s">
        <v>143</v>
      </c>
      <c r="G48" s="25">
        <v>0</v>
      </c>
      <c r="H48" s="24">
        <v>2700</v>
      </c>
      <c r="I48" s="24">
        <v>2835</v>
      </c>
      <c r="J48" s="45">
        <f t="shared" si="4"/>
        <v>5.0000000000000044E-2</v>
      </c>
      <c r="K48" s="24">
        <v>2835</v>
      </c>
      <c r="L48" s="55">
        <f t="shared" si="5"/>
        <v>0</v>
      </c>
      <c r="M48" s="24">
        <v>2970</v>
      </c>
      <c r="N48" s="45">
        <f t="shared" si="7"/>
        <v>4.7619047619047672E-2</v>
      </c>
    </row>
    <row r="49" spans="1:14" x14ac:dyDescent="0.3">
      <c r="A49" s="144"/>
      <c r="B49" s="47"/>
      <c r="C49" s="47"/>
      <c r="D49" s="62" t="s">
        <v>45</v>
      </c>
      <c r="E49" s="62"/>
      <c r="F49" s="62"/>
      <c r="G49" s="50">
        <f>+G50</f>
        <v>51000</v>
      </c>
      <c r="H49" s="50">
        <f>+H50</f>
        <v>60000</v>
      </c>
      <c r="I49" s="50">
        <f>+I50</f>
        <v>66000</v>
      </c>
      <c r="J49" s="51">
        <f t="shared" si="4"/>
        <v>0.10000000000000009</v>
      </c>
      <c r="K49" s="50">
        <f>+K50</f>
        <v>66000</v>
      </c>
      <c r="L49" s="57">
        <f t="shared" si="5"/>
        <v>0</v>
      </c>
      <c r="M49" s="50">
        <f>+M50</f>
        <v>69300</v>
      </c>
      <c r="N49" s="57">
        <f t="shared" si="7"/>
        <v>5.0000000000000044E-2</v>
      </c>
    </row>
    <row r="50" spans="1:14" x14ac:dyDescent="0.3">
      <c r="A50" s="89" t="s">
        <v>170</v>
      </c>
      <c r="B50" s="63"/>
      <c r="D50" s="52"/>
      <c r="E50" s="23" t="s">
        <v>127</v>
      </c>
      <c r="F50" s="53" t="s">
        <v>138</v>
      </c>
      <c r="G50" s="25">
        <v>51000</v>
      </c>
      <c r="H50" s="24">
        <v>60000</v>
      </c>
      <c r="I50" s="24">
        <v>66000</v>
      </c>
      <c r="J50" s="45">
        <f t="shared" si="4"/>
        <v>0.10000000000000009</v>
      </c>
      <c r="K50" s="24">
        <v>66000</v>
      </c>
      <c r="L50" s="55">
        <f t="shared" si="5"/>
        <v>0</v>
      </c>
      <c r="M50" s="24">
        <v>69300</v>
      </c>
      <c r="N50" s="45">
        <f t="shared" si="7"/>
        <v>5.0000000000000044E-2</v>
      </c>
    </row>
    <row r="51" spans="1:14" x14ac:dyDescent="0.3">
      <c r="A51" s="144"/>
      <c r="B51" s="47"/>
      <c r="C51" s="47"/>
      <c r="D51" s="62" t="s">
        <v>46</v>
      </c>
      <c r="E51" s="62"/>
      <c r="F51" s="62"/>
      <c r="G51" s="50">
        <f>+G52</f>
        <v>26.45</v>
      </c>
      <c r="H51" s="50">
        <f>+H52</f>
        <v>1000</v>
      </c>
      <c r="I51" s="50">
        <f>+I52</f>
        <v>2000</v>
      </c>
      <c r="J51" s="51">
        <f t="shared" si="4"/>
        <v>1</v>
      </c>
      <c r="K51" s="50">
        <f>+K52</f>
        <v>2000</v>
      </c>
      <c r="L51" s="57">
        <f t="shared" si="5"/>
        <v>0</v>
      </c>
      <c r="M51" s="50">
        <f>+M52</f>
        <v>2100</v>
      </c>
      <c r="N51" s="57">
        <f t="shared" si="7"/>
        <v>5.0000000000000044E-2</v>
      </c>
    </row>
    <row r="52" spans="1:14" x14ac:dyDescent="0.3">
      <c r="A52" s="91" t="s">
        <v>174</v>
      </c>
      <c r="B52" s="63"/>
      <c r="D52" s="52"/>
      <c r="E52" s="23" t="s">
        <v>132</v>
      </c>
      <c r="F52" s="53" t="s">
        <v>143</v>
      </c>
      <c r="G52" s="25">
        <v>26.45</v>
      </c>
      <c r="H52" s="24">
        <v>1000</v>
      </c>
      <c r="I52" s="24">
        <v>2000</v>
      </c>
      <c r="J52" s="45">
        <f t="shared" si="4"/>
        <v>1</v>
      </c>
      <c r="K52" s="24">
        <v>2000</v>
      </c>
      <c r="L52" s="55">
        <f t="shared" si="5"/>
        <v>0</v>
      </c>
      <c r="M52" s="24">
        <v>2100</v>
      </c>
      <c r="N52" s="45">
        <f t="shared" si="7"/>
        <v>5.0000000000000044E-2</v>
      </c>
    </row>
    <row r="53" spans="1:14" x14ac:dyDescent="0.3">
      <c r="A53" s="144"/>
      <c r="B53" s="47"/>
      <c r="C53" s="47"/>
      <c r="D53" s="62" t="s">
        <v>152</v>
      </c>
      <c r="E53" s="62"/>
      <c r="F53" s="62"/>
      <c r="G53" s="50">
        <f>+G54</f>
        <v>0</v>
      </c>
      <c r="H53" s="50">
        <f>+H54</f>
        <v>1500</v>
      </c>
      <c r="I53" s="50">
        <f>+I54</f>
        <v>2835</v>
      </c>
      <c r="J53" s="51">
        <f t="shared" si="4"/>
        <v>0.8899999999999999</v>
      </c>
      <c r="K53" s="50">
        <f>+K54</f>
        <v>2835</v>
      </c>
      <c r="L53" s="57">
        <f t="shared" si="5"/>
        <v>0</v>
      </c>
      <c r="M53" s="50">
        <f>+M54</f>
        <v>2900</v>
      </c>
      <c r="N53" s="57">
        <f t="shared" si="7"/>
        <v>2.2927689594356204E-2</v>
      </c>
    </row>
    <row r="54" spans="1:14" x14ac:dyDescent="0.3">
      <c r="A54" s="91" t="s">
        <v>174</v>
      </c>
      <c r="B54" s="63"/>
      <c r="D54" s="52"/>
      <c r="E54" s="23" t="s">
        <v>132</v>
      </c>
      <c r="F54" s="53" t="s">
        <v>143</v>
      </c>
      <c r="G54" s="25">
        <v>0</v>
      </c>
      <c r="H54" s="24">
        <v>1500</v>
      </c>
      <c r="I54" s="24">
        <v>2835</v>
      </c>
      <c r="J54" s="45">
        <f t="shared" si="4"/>
        <v>0.8899999999999999</v>
      </c>
      <c r="K54" s="24">
        <v>2835</v>
      </c>
      <c r="L54" s="55">
        <f t="shared" si="5"/>
        <v>0</v>
      </c>
      <c r="M54" s="24">
        <v>2900</v>
      </c>
      <c r="N54" s="45">
        <f t="shared" si="7"/>
        <v>2.2927689594356204E-2</v>
      </c>
    </row>
    <row r="55" spans="1:14" s="22" customFormat="1" x14ac:dyDescent="0.3">
      <c r="A55" s="144"/>
      <c r="B55" s="47"/>
      <c r="C55" s="47"/>
      <c r="D55" s="62" t="s">
        <v>47</v>
      </c>
      <c r="E55" s="62"/>
      <c r="F55" s="62"/>
      <c r="G55" s="50">
        <f>+SUM(G56:G57)</f>
        <v>9850</v>
      </c>
      <c r="H55" s="50">
        <f>+SUM(H56:H57)</f>
        <v>62000</v>
      </c>
      <c r="I55" s="50">
        <f>+SUM(I56:I57)</f>
        <v>65000</v>
      </c>
      <c r="J55" s="51">
        <f t="shared" si="4"/>
        <v>4.8387096774193505E-2</v>
      </c>
      <c r="K55" s="50">
        <f>+SUM(K56:K57)</f>
        <v>65000</v>
      </c>
      <c r="L55" s="57">
        <f t="shared" si="5"/>
        <v>0</v>
      </c>
      <c r="M55" s="50">
        <f>+SUM(M56:M57)</f>
        <v>68200</v>
      </c>
      <c r="N55" s="57">
        <f t="shared" si="7"/>
        <v>4.9230769230769189E-2</v>
      </c>
    </row>
    <row r="56" spans="1:14" s="22" customFormat="1" x14ac:dyDescent="0.3">
      <c r="A56" s="89" t="s">
        <v>170</v>
      </c>
      <c r="B56" s="63"/>
      <c r="C56" s="23"/>
      <c r="D56" s="52"/>
      <c r="E56" s="23" t="s">
        <v>127</v>
      </c>
      <c r="F56" s="53" t="s">
        <v>138</v>
      </c>
      <c r="G56" s="25">
        <v>0</v>
      </c>
      <c r="H56" s="24">
        <v>32000</v>
      </c>
      <c r="I56" s="24">
        <v>33500</v>
      </c>
      <c r="J56" s="45">
        <f t="shared" ref="J56:J89" si="8">+I56/H56-1</f>
        <v>4.6875E-2</v>
      </c>
      <c r="K56" s="24">
        <v>33500</v>
      </c>
      <c r="L56" s="55">
        <f t="shared" ref="L56:L88" si="9">+K56/I56-1</f>
        <v>0</v>
      </c>
      <c r="M56" s="24">
        <v>35200</v>
      </c>
      <c r="N56" s="45"/>
    </row>
    <row r="57" spans="1:14" s="22" customFormat="1" x14ac:dyDescent="0.3">
      <c r="A57" s="89" t="s">
        <v>170</v>
      </c>
      <c r="B57" s="63"/>
      <c r="C57" s="23"/>
      <c r="D57" s="52"/>
      <c r="E57" s="23" t="s">
        <v>130</v>
      </c>
      <c r="F57" s="53" t="s">
        <v>145</v>
      </c>
      <c r="G57" s="76">
        <v>9850</v>
      </c>
      <c r="H57" s="24">
        <v>30000</v>
      </c>
      <c r="I57" s="24">
        <v>31500</v>
      </c>
      <c r="J57" s="45">
        <f t="shared" si="8"/>
        <v>5.0000000000000044E-2</v>
      </c>
      <c r="K57" s="24">
        <v>31500</v>
      </c>
      <c r="L57" s="55">
        <f t="shared" si="9"/>
        <v>0</v>
      </c>
      <c r="M57" s="24">
        <v>33000</v>
      </c>
      <c r="N57" s="45">
        <f t="shared" ref="N57:N98" si="10">+M57/K57-1</f>
        <v>4.7619047619047672E-2</v>
      </c>
    </row>
    <row r="58" spans="1:14" s="22" customFormat="1" x14ac:dyDescent="0.3">
      <c r="A58" s="143"/>
      <c r="B58" s="42"/>
      <c r="C58" s="42" t="s">
        <v>49</v>
      </c>
      <c r="D58" s="42"/>
      <c r="E58" s="42"/>
      <c r="F58" s="42"/>
      <c r="G58" s="24">
        <f>+G59+G61+G63+G65+G67+G69+G71+G73+G75+G77+G79+G81</f>
        <v>56686.82</v>
      </c>
      <c r="H58" s="24">
        <f>+H59+H61+H63+H65+H67+H69+H71+H73+H75+H77+H79+H81</f>
        <v>88400</v>
      </c>
      <c r="I58" s="24">
        <f>+I59+I61+I63+I65+I67+I69+I71+I73+I75+I77+I79+I81</f>
        <v>97020</v>
      </c>
      <c r="J58" s="45">
        <f t="shared" si="8"/>
        <v>9.7511312217194668E-2</v>
      </c>
      <c r="K58" s="24">
        <f>+K59+K61+K63+K65+K67+K69+K71+K73+K75+K77+K79+K81</f>
        <v>97020</v>
      </c>
      <c r="L58" s="55">
        <f t="shared" si="9"/>
        <v>0</v>
      </c>
      <c r="M58" s="24">
        <f>+M59+M61+M63+M65+M67+M69+M71+M73+M75+M77+M79+M81</f>
        <v>97240</v>
      </c>
      <c r="N58" s="45">
        <f t="shared" si="10"/>
        <v>2.2675736961450532E-3</v>
      </c>
    </row>
    <row r="59" spans="1:14" s="22" customFormat="1" x14ac:dyDescent="0.3">
      <c r="A59" s="144"/>
      <c r="B59" s="47"/>
      <c r="C59" s="47"/>
      <c r="D59" s="59" t="s">
        <v>50</v>
      </c>
      <c r="E59" s="59"/>
      <c r="F59" s="60"/>
      <c r="G59" s="50">
        <f>+G60</f>
        <v>32119.59</v>
      </c>
      <c r="H59" s="50">
        <f>+H60</f>
        <v>50000</v>
      </c>
      <c r="I59" s="50">
        <f>+I60</f>
        <v>52500</v>
      </c>
      <c r="J59" s="51">
        <f t="shared" si="8"/>
        <v>5.0000000000000044E-2</v>
      </c>
      <c r="K59" s="50">
        <f>+K60</f>
        <v>52500</v>
      </c>
      <c r="L59" s="57">
        <f t="shared" si="9"/>
        <v>0</v>
      </c>
      <c r="M59" s="50">
        <f>+M60</f>
        <v>55000</v>
      </c>
      <c r="N59" s="57">
        <f t="shared" si="10"/>
        <v>4.7619047619047672E-2</v>
      </c>
    </row>
    <row r="60" spans="1:14" s="22" customFormat="1" x14ac:dyDescent="0.3">
      <c r="A60" s="91" t="s">
        <v>174</v>
      </c>
      <c r="B60" s="23"/>
      <c r="C60" s="23"/>
      <c r="D60" s="52"/>
      <c r="E60" s="23" t="s">
        <v>132</v>
      </c>
      <c r="F60" s="53" t="s">
        <v>143</v>
      </c>
      <c r="G60" s="76">
        <v>32119.59</v>
      </c>
      <c r="H60" s="24">
        <v>50000</v>
      </c>
      <c r="I60" s="24">
        <v>52500</v>
      </c>
      <c r="J60" s="45">
        <f t="shared" si="8"/>
        <v>5.0000000000000044E-2</v>
      </c>
      <c r="K60" s="24">
        <v>52500</v>
      </c>
      <c r="L60" s="55">
        <f t="shared" si="9"/>
        <v>0</v>
      </c>
      <c r="M60" s="24">
        <v>55000</v>
      </c>
      <c r="N60" s="45">
        <f t="shared" si="10"/>
        <v>4.7619047619047672E-2</v>
      </c>
    </row>
    <row r="61" spans="1:14" x14ac:dyDescent="0.3">
      <c r="A61" s="144"/>
      <c r="B61" s="47"/>
      <c r="C61" s="47"/>
      <c r="D61" s="59" t="s">
        <v>51</v>
      </c>
      <c r="E61" s="59"/>
      <c r="F61" s="60"/>
      <c r="G61" s="50">
        <f>+G62</f>
        <v>2640</v>
      </c>
      <c r="H61" s="50">
        <f>+H62</f>
        <v>5000</v>
      </c>
      <c r="I61" s="50">
        <f>+I62</f>
        <v>5200</v>
      </c>
      <c r="J61" s="51">
        <f t="shared" si="8"/>
        <v>4.0000000000000036E-2</v>
      </c>
      <c r="K61" s="50">
        <f>+K62</f>
        <v>5200</v>
      </c>
      <c r="L61" s="57">
        <f t="shared" si="9"/>
        <v>0</v>
      </c>
      <c r="M61" s="50">
        <f>+M62</f>
        <v>5500</v>
      </c>
      <c r="N61" s="57">
        <f t="shared" si="10"/>
        <v>5.7692307692307709E-2</v>
      </c>
    </row>
    <row r="62" spans="1:14" x14ac:dyDescent="0.3">
      <c r="A62" s="91" t="s">
        <v>174</v>
      </c>
      <c r="D62" s="52"/>
      <c r="E62" s="23" t="s">
        <v>132</v>
      </c>
      <c r="F62" s="53" t="s">
        <v>143</v>
      </c>
      <c r="G62" s="180">
        <v>2640</v>
      </c>
      <c r="H62" s="24">
        <v>5000</v>
      </c>
      <c r="I62" s="24">
        <v>5200</v>
      </c>
      <c r="J62" s="45">
        <f t="shared" si="8"/>
        <v>4.0000000000000036E-2</v>
      </c>
      <c r="K62" s="24">
        <f>1300*4</f>
        <v>5200</v>
      </c>
      <c r="L62" s="55">
        <f t="shared" si="9"/>
        <v>0</v>
      </c>
      <c r="M62" s="24">
        <v>5500</v>
      </c>
      <c r="N62" s="45">
        <f t="shared" si="10"/>
        <v>5.7692307692307709E-2</v>
      </c>
    </row>
    <row r="63" spans="1:14" x14ac:dyDescent="0.3">
      <c r="A63" s="145"/>
      <c r="B63" s="47"/>
      <c r="C63" s="47"/>
      <c r="D63" s="59" t="s">
        <v>52</v>
      </c>
      <c r="E63" s="59"/>
      <c r="F63" s="60"/>
      <c r="G63" s="50">
        <f>+G64</f>
        <v>1327.23</v>
      </c>
      <c r="H63" s="50">
        <f>+H64</f>
        <v>2000</v>
      </c>
      <c r="I63" s="50">
        <f>+I64</f>
        <v>2100</v>
      </c>
      <c r="J63" s="51">
        <f t="shared" si="8"/>
        <v>5.0000000000000044E-2</v>
      </c>
      <c r="K63" s="50">
        <f>+K64</f>
        <v>2100</v>
      </c>
      <c r="L63" s="57">
        <f t="shared" si="9"/>
        <v>0</v>
      </c>
      <c r="M63" s="50">
        <f>+M64</f>
        <v>2200</v>
      </c>
      <c r="N63" s="57">
        <f t="shared" si="10"/>
        <v>4.7619047619047672E-2</v>
      </c>
    </row>
    <row r="64" spans="1:14" x14ac:dyDescent="0.3">
      <c r="A64" s="91" t="s">
        <v>174</v>
      </c>
      <c r="D64" s="52"/>
      <c r="E64" s="23" t="s">
        <v>132</v>
      </c>
      <c r="F64" s="53" t="s">
        <v>143</v>
      </c>
      <c r="G64" s="76">
        <v>1327.23</v>
      </c>
      <c r="H64" s="24">
        <v>2000</v>
      </c>
      <c r="I64" s="24">
        <v>2100</v>
      </c>
      <c r="J64" s="45">
        <f t="shared" si="8"/>
        <v>5.0000000000000044E-2</v>
      </c>
      <c r="K64" s="24">
        <v>2100</v>
      </c>
      <c r="L64" s="55">
        <f t="shared" si="9"/>
        <v>0</v>
      </c>
      <c r="M64" s="24">
        <v>2200</v>
      </c>
      <c r="N64" s="45">
        <f t="shared" si="10"/>
        <v>4.7619047619047672E-2</v>
      </c>
    </row>
    <row r="65" spans="1:16" x14ac:dyDescent="0.3">
      <c r="A65" s="145"/>
      <c r="B65" s="47"/>
      <c r="C65" s="47"/>
      <c r="D65" s="59" t="s">
        <v>53</v>
      </c>
      <c r="E65" s="59"/>
      <c r="F65" s="60"/>
      <c r="G65" s="50">
        <f>+G66</f>
        <v>0</v>
      </c>
      <c r="H65" s="50">
        <f>+H66</f>
        <v>2000</v>
      </c>
      <c r="I65" s="50">
        <f>+I66</f>
        <v>2100</v>
      </c>
      <c r="J65" s="51">
        <f t="shared" si="8"/>
        <v>5.0000000000000044E-2</v>
      </c>
      <c r="K65" s="50">
        <f>+K66</f>
        <v>2100</v>
      </c>
      <c r="L65" s="57">
        <f t="shared" si="9"/>
        <v>0</v>
      </c>
      <c r="M65" s="50">
        <f>+M66</f>
        <v>2200</v>
      </c>
      <c r="N65" s="57">
        <f t="shared" si="10"/>
        <v>4.7619047619047672E-2</v>
      </c>
    </row>
    <row r="66" spans="1:16" x14ac:dyDescent="0.3">
      <c r="A66" s="91" t="s">
        <v>174</v>
      </c>
      <c r="D66" s="52"/>
      <c r="E66" s="23" t="s">
        <v>132</v>
      </c>
      <c r="F66" s="53" t="s">
        <v>143</v>
      </c>
      <c r="G66" s="25">
        <v>0</v>
      </c>
      <c r="H66" s="24">
        <v>2000</v>
      </c>
      <c r="I66" s="24">
        <v>2100</v>
      </c>
      <c r="J66" s="45">
        <f t="shared" si="8"/>
        <v>5.0000000000000044E-2</v>
      </c>
      <c r="K66" s="24">
        <v>2100</v>
      </c>
      <c r="L66" s="55">
        <f t="shared" si="9"/>
        <v>0</v>
      </c>
      <c r="M66" s="24">
        <v>2200</v>
      </c>
      <c r="N66" s="45">
        <f t="shared" si="10"/>
        <v>4.7619047619047672E-2</v>
      </c>
    </row>
    <row r="67" spans="1:16" x14ac:dyDescent="0.3">
      <c r="A67" s="145"/>
      <c r="B67" s="47"/>
      <c r="C67" s="47"/>
      <c r="D67" s="59" t="s">
        <v>54</v>
      </c>
      <c r="E67" s="59"/>
      <c r="F67" s="60"/>
      <c r="G67" s="50">
        <f>+G68</f>
        <v>5350</v>
      </c>
      <c r="H67" s="50">
        <f>+H68</f>
        <v>5000</v>
      </c>
      <c r="I67" s="50">
        <f>+I68</f>
        <v>5250</v>
      </c>
      <c r="J67" s="51">
        <f t="shared" si="8"/>
        <v>5.0000000000000044E-2</v>
      </c>
      <c r="K67" s="50">
        <f>+K68</f>
        <v>5250</v>
      </c>
      <c r="L67" s="57">
        <f t="shared" si="9"/>
        <v>0</v>
      </c>
      <c r="M67" s="50">
        <f>+M68</f>
        <v>5500</v>
      </c>
      <c r="N67" s="57">
        <f t="shared" si="10"/>
        <v>4.7619047619047672E-2</v>
      </c>
    </row>
    <row r="68" spans="1:16" x14ac:dyDescent="0.3">
      <c r="A68" s="91" t="s">
        <v>174</v>
      </c>
      <c r="D68" s="52"/>
      <c r="E68" s="23" t="s">
        <v>132</v>
      </c>
      <c r="F68" s="53" t="s">
        <v>143</v>
      </c>
      <c r="G68" s="180">
        <v>5350</v>
      </c>
      <c r="H68" s="24">
        <v>5000</v>
      </c>
      <c r="I68" s="24">
        <v>5250</v>
      </c>
      <c r="J68" s="45">
        <f t="shared" si="8"/>
        <v>5.0000000000000044E-2</v>
      </c>
      <c r="K68" s="24">
        <v>5250</v>
      </c>
      <c r="L68" s="55">
        <f t="shared" si="9"/>
        <v>0</v>
      </c>
      <c r="M68" s="24">
        <v>5500</v>
      </c>
      <c r="N68" s="45">
        <f t="shared" si="10"/>
        <v>4.7619047619047672E-2</v>
      </c>
    </row>
    <row r="69" spans="1:16" x14ac:dyDescent="0.3">
      <c r="A69" s="145"/>
      <c r="B69" s="47"/>
      <c r="C69" s="47"/>
      <c r="D69" s="59" t="s">
        <v>55</v>
      </c>
      <c r="E69" s="59"/>
      <c r="F69" s="60"/>
      <c r="G69" s="50">
        <f>+G70</f>
        <v>0</v>
      </c>
      <c r="H69" s="50">
        <f>+H70</f>
        <v>700</v>
      </c>
      <c r="I69" s="50">
        <f>+I70</f>
        <v>735</v>
      </c>
      <c r="J69" s="51">
        <f t="shared" si="8"/>
        <v>5.0000000000000044E-2</v>
      </c>
      <c r="K69" s="50">
        <f>+K70</f>
        <v>735</v>
      </c>
      <c r="L69" s="57">
        <f t="shared" si="9"/>
        <v>0</v>
      </c>
      <c r="M69" s="50">
        <f>+M70</f>
        <v>770</v>
      </c>
      <c r="N69" s="57">
        <f t="shared" si="10"/>
        <v>4.7619047619047672E-2</v>
      </c>
    </row>
    <row r="70" spans="1:16" x14ac:dyDescent="0.3">
      <c r="A70" s="91" t="s">
        <v>174</v>
      </c>
      <c r="D70" s="52"/>
      <c r="E70" s="23" t="s">
        <v>132</v>
      </c>
      <c r="F70" s="53" t="s">
        <v>143</v>
      </c>
      <c r="G70" s="25">
        <v>0</v>
      </c>
      <c r="H70" s="24">
        <v>700</v>
      </c>
      <c r="I70" s="24">
        <v>735</v>
      </c>
      <c r="J70" s="45">
        <f t="shared" si="8"/>
        <v>5.0000000000000044E-2</v>
      </c>
      <c r="K70" s="24">
        <v>735</v>
      </c>
      <c r="L70" s="55">
        <f t="shared" si="9"/>
        <v>0</v>
      </c>
      <c r="M70" s="24">
        <v>770</v>
      </c>
      <c r="N70" s="45">
        <f t="shared" si="10"/>
        <v>4.7619047619047672E-2</v>
      </c>
    </row>
    <row r="71" spans="1:16" x14ac:dyDescent="0.3">
      <c r="A71" s="145"/>
      <c r="B71" s="47"/>
      <c r="C71" s="47"/>
      <c r="D71" s="59" t="s">
        <v>56</v>
      </c>
      <c r="E71" s="59"/>
      <c r="F71" s="60"/>
      <c r="G71" s="50">
        <f>+G72</f>
        <v>0</v>
      </c>
      <c r="H71" s="50">
        <f>+H72</f>
        <v>700</v>
      </c>
      <c r="I71" s="50">
        <f>+I72</f>
        <v>735</v>
      </c>
      <c r="J71" s="51">
        <f t="shared" si="8"/>
        <v>5.0000000000000044E-2</v>
      </c>
      <c r="K71" s="50">
        <f>+K72</f>
        <v>735</v>
      </c>
      <c r="L71" s="57">
        <f t="shared" si="9"/>
        <v>0</v>
      </c>
      <c r="M71" s="50">
        <f>+M72</f>
        <v>770</v>
      </c>
      <c r="N71" s="57">
        <f t="shared" si="10"/>
        <v>4.7619047619047672E-2</v>
      </c>
    </row>
    <row r="72" spans="1:16" x14ac:dyDescent="0.3">
      <c r="A72" s="91" t="s">
        <v>174</v>
      </c>
      <c r="D72" s="52"/>
      <c r="E72" s="23" t="s">
        <v>132</v>
      </c>
      <c r="F72" s="53" t="s">
        <v>143</v>
      </c>
      <c r="G72" s="25">
        <v>0</v>
      </c>
      <c r="H72" s="24">
        <v>700</v>
      </c>
      <c r="I72" s="24">
        <v>735</v>
      </c>
      <c r="J72" s="45">
        <f t="shared" si="8"/>
        <v>5.0000000000000044E-2</v>
      </c>
      <c r="K72" s="24">
        <v>735</v>
      </c>
      <c r="L72" s="55">
        <f t="shared" si="9"/>
        <v>0</v>
      </c>
      <c r="M72" s="24">
        <v>770</v>
      </c>
      <c r="N72" s="45">
        <f t="shared" si="10"/>
        <v>4.7619047619047672E-2</v>
      </c>
    </row>
    <row r="73" spans="1:16" x14ac:dyDescent="0.3">
      <c r="A73" s="145"/>
      <c r="B73" s="47"/>
      <c r="C73" s="47"/>
      <c r="D73" s="59" t="s">
        <v>57</v>
      </c>
      <c r="E73" s="59"/>
      <c r="F73" s="60"/>
      <c r="G73" s="50">
        <f>+G74</f>
        <v>0</v>
      </c>
      <c r="H73" s="50">
        <f>+H74</f>
        <v>2000</v>
      </c>
      <c r="I73" s="50">
        <f>+I74</f>
        <v>2100</v>
      </c>
      <c r="J73" s="51">
        <f t="shared" si="8"/>
        <v>5.0000000000000044E-2</v>
      </c>
      <c r="K73" s="50">
        <f>+K74</f>
        <v>2100</v>
      </c>
      <c r="L73" s="57">
        <f t="shared" si="9"/>
        <v>0</v>
      </c>
      <c r="M73" s="50">
        <f>+M74</f>
        <v>2200</v>
      </c>
      <c r="N73" s="57">
        <f t="shared" si="10"/>
        <v>4.7619047619047672E-2</v>
      </c>
    </row>
    <row r="74" spans="1:16" s="64" customFormat="1" x14ac:dyDescent="0.3">
      <c r="A74" s="89" t="s">
        <v>170</v>
      </c>
      <c r="B74" s="23"/>
      <c r="C74" s="23"/>
      <c r="D74" s="65"/>
      <c r="E74" s="23" t="s">
        <v>130</v>
      </c>
      <c r="F74" s="53" t="s">
        <v>145</v>
      </c>
      <c r="G74" s="25">
        <v>0</v>
      </c>
      <c r="H74" s="24">
        <v>2000</v>
      </c>
      <c r="I74" s="24">
        <v>2100</v>
      </c>
      <c r="J74" s="45">
        <f t="shared" si="8"/>
        <v>5.0000000000000044E-2</v>
      </c>
      <c r="K74" s="24">
        <v>2100</v>
      </c>
      <c r="L74" s="55">
        <f t="shared" si="9"/>
        <v>0</v>
      </c>
      <c r="M74" s="24">
        <v>2200</v>
      </c>
      <c r="N74" s="45">
        <f t="shared" si="10"/>
        <v>4.7619047619047672E-2</v>
      </c>
      <c r="O74" s="67"/>
      <c r="P74" s="67"/>
    </row>
    <row r="75" spans="1:16" s="64" customFormat="1" x14ac:dyDescent="0.3">
      <c r="A75" s="145"/>
      <c r="B75" s="47"/>
      <c r="C75" s="47"/>
      <c r="D75" s="59" t="s">
        <v>232</v>
      </c>
      <c r="E75" s="59"/>
      <c r="F75" s="60"/>
      <c r="G75" s="50">
        <f>+G76</f>
        <v>0</v>
      </c>
      <c r="H75" s="50">
        <f>+H76</f>
        <v>2000</v>
      </c>
      <c r="I75" s="50">
        <f>+I76</f>
        <v>2100</v>
      </c>
      <c r="J75" s="51">
        <f t="shared" si="8"/>
        <v>5.0000000000000044E-2</v>
      </c>
      <c r="K75" s="50">
        <f>+K76</f>
        <v>2100</v>
      </c>
      <c r="L75" s="57">
        <f t="shared" si="9"/>
        <v>0</v>
      </c>
      <c r="M75" s="50">
        <f>+M76</f>
        <v>2200</v>
      </c>
      <c r="N75" s="57">
        <f t="shared" si="10"/>
        <v>4.7619047619047672E-2</v>
      </c>
      <c r="O75" s="67"/>
      <c r="P75" s="67"/>
    </row>
    <row r="76" spans="1:16" s="64" customFormat="1" x14ac:dyDescent="0.3">
      <c r="A76" s="89" t="s">
        <v>170</v>
      </c>
      <c r="B76" s="23"/>
      <c r="C76" s="23"/>
      <c r="D76" s="65"/>
      <c r="E76" s="23" t="s">
        <v>130</v>
      </c>
      <c r="F76" s="53" t="s">
        <v>145</v>
      </c>
      <c r="G76" s="25">
        <v>0</v>
      </c>
      <c r="H76" s="24">
        <v>2000</v>
      </c>
      <c r="I76" s="24">
        <v>2100</v>
      </c>
      <c r="J76" s="45">
        <f t="shared" si="8"/>
        <v>5.0000000000000044E-2</v>
      </c>
      <c r="K76" s="24">
        <v>2100</v>
      </c>
      <c r="L76" s="55">
        <f t="shared" si="9"/>
        <v>0</v>
      </c>
      <c r="M76" s="24">
        <v>2200</v>
      </c>
      <c r="N76" s="45">
        <f t="shared" si="10"/>
        <v>4.7619047619047672E-2</v>
      </c>
      <c r="O76" s="67"/>
      <c r="P76" s="67"/>
    </row>
    <row r="77" spans="1:16" s="64" customFormat="1" x14ac:dyDescent="0.3">
      <c r="A77" s="146"/>
      <c r="B77" s="68"/>
      <c r="C77" s="68"/>
      <c r="D77" s="69" t="s">
        <v>58</v>
      </c>
      <c r="E77" s="69"/>
      <c r="F77" s="70"/>
      <c r="G77" s="50">
        <f>+G78</f>
        <v>0</v>
      </c>
      <c r="H77" s="50">
        <f>+H78</f>
        <v>2000</v>
      </c>
      <c r="I77" s="50">
        <f>+I78</f>
        <v>2100</v>
      </c>
      <c r="J77" s="51">
        <f t="shared" si="8"/>
        <v>5.0000000000000044E-2</v>
      </c>
      <c r="K77" s="50">
        <f>+K78</f>
        <v>2100</v>
      </c>
      <c r="L77" s="57">
        <f t="shared" si="9"/>
        <v>0</v>
      </c>
      <c r="M77" s="50">
        <f>+M78</f>
        <v>2200</v>
      </c>
      <c r="N77" s="57">
        <f t="shared" si="10"/>
        <v>4.7619047619047672E-2</v>
      </c>
      <c r="O77" s="67"/>
      <c r="P77" s="67"/>
    </row>
    <row r="78" spans="1:16" x14ac:dyDescent="0.3">
      <c r="A78" s="89" t="s">
        <v>170</v>
      </c>
      <c r="B78" s="63"/>
      <c r="C78" s="63"/>
      <c r="D78" s="65"/>
      <c r="E78" s="23" t="s">
        <v>130</v>
      </c>
      <c r="F78" s="53" t="s">
        <v>145</v>
      </c>
      <c r="G78" s="25">
        <v>0</v>
      </c>
      <c r="H78" s="24">
        <v>2000</v>
      </c>
      <c r="I78" s="24">
        <v>2100</v>
      </c>
      <c r="J78" s="45">
        <f t="shared" si="8"/>
        <v>5.0000000000000044E-2</v>
      </c>
      <c r="K78" s="24">
        <v>2100</v>
      </c>
      <c r="L78" s="55">
        <f t="shared" si="9"/>
        <v>0</v>
      </c>
      <c r="M78" s="24">
        <v>2200</v>
      </c>
      <c r="N78" s="45">
        <f t="shared" si="10"/>
        <v>4.7619047619047672E-2</v>
      </c>
    </row>
    <row r="79" spans="1:16" x14ac:dyDescent="0.3">
      <c r="A79" s="146"/>
      <c r="B79" s="68"/>
      <c r="C79" s="68"/>
      <c r="D79" s="69" t="s">
        <v>235</v>
      </c>
      <c r="E79" s="69"/>
      <c r="F79" s="70"/>
      <c r="G79" s="50">
        <f>+G80</f>
        <v>15250</v>
      </c>
      <c r="H79" s="50">
        <f>+H80</f>
        <v>15000</v>
      </c>
      <c r="I79" s="50">
        <f>+I80</f>
        <v>20000</v>
      </c>
      <c r="J79" s="51">
        <f t="shared" si="8"/>
        <v>0.33333333333333326</v>
      </c>
      <c r="K79" s="50">
        <f>+K80</f>
        <v>20000</v>
      </c>
      <c r="L79" s="57">
        <f t="shared" si="9"/>
        <v>0</v>
      </c>
      <c r="M79" s="50">
        <f>+M80</f>
        <v>16500</v>
      </c>
      <c r="N79" s="57">
        <f t="shared" si="10"/>
        <v>-0.17500000000000004</v>
      </c>
    </row>
    <row r="80" spans="1:16" x14ac:dyDescent="0.3">
      <c r="A80" s="89" t="s">
        <v>170</v>
      </c>
      <c r="B80" s="63"/>
      <c r="C80" s="63"/>
      <c r="D80" s="65"/>
      <c r="E80" s="23" t="s">
        <v>127</v>
      </c>
      <c r="F80" s="53" t="s">
        <v>138</v>
      </c>
      <c r="G80" s="180">
        <v>15250</v>
      </c>
      <c r="H80" s="24">
        <v>15000</v>
      </c>
      <c r="I80" s="24">
        <v>20000</v>
      </c>
      <c r="J80" s="45">
        <f t="shared" si="8"/>
        <v>0.33333333333333326</v>
      </c>
      <c r="K80" s="24">
        <v>20000</v>
      </c>
      <c r="L80" s="55">
        <f t="shared" si="9"/>
        <v>0</v>
      </c>
      <c r="M80" s="24">
        <v>16500</v>
      </c>
      <c r="N80" s="45">
        <f t="shared" si="10"/>
        <v>-0.17500000000000004</v>
      </c>
    </row>
    <row r="81" spans="1:21" x14ac:dyDescent="0.3">
      <c r="A81" s="146"/>
      <c r="B81" s="68"/>
      <c r="C81" s="68"/>
      <c r="D81" s="69" t="s">
        <v>59</v>
      </c>
      <c r="E81" s="69"/>
      <c r="F81" s="70"/>
      <c r="G81" s="50">
        <f>+G82</f>
        <v>0</v>
      </c>
      <c r="H81" s="50">
        <f>+H82</f>
        <v>2000</v>
      </c>
      <c r="I81" s="50">
        <f>+I82</f>
        <v>2100</v>
      </c>
      <c r="J81" s="51">
        <f t="shared" si="8"/>
        <v>5.0000000000000044E-2</v>
      </c>
      <c r="K81" s="50">
        <f>+K82</f>
        <v>2100</v>
      </c>
      <c r="L81" s="57">
        <f t="shared" si="9"/>
        <v>0</v>
      </c>
      <c r="M81" s="50">
        <f>+M82</f>
        <v>2200</v>
      </c>
      <c r="N81" s="57">
        <f t="shared" si="10"/>
        <v>4.7619047619047672E-2</v>
      </c>
    </row>
    <row r="82" spans="1:21" x14ac:dyDescent="0.3">
      <c r="A82" s="89" t="s">
        <v>170</v>
      </c>
      <c r="B82" s="63"/>
      <c r="C82" s="63"/>
      <c r="D82" s="65"/>
      <c r="E82" s="23" t="s">
        <v>130</v>
      </c>
      <c r="F82" s="53" t="s">
        <v>145</v>
      </c>
      <c r="G82" s="25">
        <v>0</v>
      </c>
      <c r="H82" s="24">
        <v>2000</v>
      </c>
      <c r="I82" s="24">
        <v>2100</v>
      </c>
      <c r="J82" s="45">
        <f t="shared" si="8"/>
        <v>5.0000000000000044E-2</v>
      </c>
      <c r="K82" s="24">
        <v>2100</v>
      </c>
      <c r="L82" s="55">
        <f t="shared" si="9"/>
        <v>0</v>
      </c>
      <c r="M82" s="24">
        <v>2200</v>
      </c>
      <c r="N82" s="45">
        <f t="shared" si="10"/>
        <v>4.7619047619047672E-2</v>
      </c>
    </row>
    <row r="83" spans="1:21" x14ac:dyDescent="0.3">
      <c r="A83" s="143"/>
      <c r="B83" s="42"/>
      <c r="C83" s="42" t="s">
        <v>60</v>
      </c>
      <c r="D83" s="42"/>
      <c r="E83" s="42"/>
      <c r="F83" s="42"/>
      <c r="G83" s="24">
        <f>+G84+G87</f>
        <v>178767.47999999998</v>
      </c>
      <c r="H83" s="24">
        <f>+H84+H87</f>
        <v>355500</v>
      </c>
      <c r="I83" s="24">
        <f>+I84+I87</f>
        <v>357275</v>
      </c>
      <c r="J83" s="45">
        <f t="shared" si="8"/>
        <v>4.9929676511955012E-3</v>
      </c>
      <c r="K83" s="24">
        <f>+K84+K87</f>
        <v>357275</v>
      </c>
      <c r="L83" s="55">
        <f t="shared" si="9"/>
        <v>0</v>
      </c>
      <c r="M83" s="24">
        <f>+M84+M87</f>
        <v>199050</v>
      </c>
      <c r="N83" s="45">
        <f t="shared" si="10"/>
        <v>-0.4428661395283745</v>
      </c>
    </row>
    <row r="84" spans="1:21" x14ac:dyDescent="0.3">
      <c r="A84" s="144"/>
      <c r="B84" s="47"/>
      <c r="C84" s="47"/>
      <c r="D84" s="47" t="s">
        <v>61</v>
      </c>
      <c r="E84" s="47"/>
      <c r="F84" s="46"/>
      <c r="G84" s="50">
        <f>+SUM(G85:G86)</f>
        <v>159544.07999999999</v>
      </c>
      <c r="H84" s="50">
        <f>+SUM(H85:H86)</f>
        <v>320000</v>
      </c>
      <c r="I84" s="50">
        <f>+SUM(I85:I86)</f>
        <v>320000</v>
      </c>
      <c r="J84" s="51">
        <f t="shared" si="8"/>
        <v>0</v>
      </c>
      <c r="K84" s="50">
        <f>+SUM(K85:K86)</f>
        <v>320000</v>
      </c>
      <c r="L84" s="57">
        <f t="shared" si="9"/>
        <v>0</v>
      </c>
      <c r="M84" s="50">
        <f>+SUM(M85:M86)</f>
        <v>160000</v>
      </c>
      <c r="N84" s="57">
        <f t="shared" si="10"/>
        <v>-0.5</v>
      </c>
    </row>
    <row r="85" spans="1:21" ht="28.8" x14ac:dyDescent="0.3">
      <c r="A85" s="91" t="s">
        <v>172</v>
      </c>
      <c r="B85" s="42"/>
      <c r="C85" s="42"/>
      <c r="D85" s="52"/>
      <c r="E85" s="23" t="s">
        <v>128</v>
      </c>
      <c r="F85" s="53" t="s">
        <v>137</v>
      </c>
      <c r="G85" s="76">
        <v>152817.43</v>
      </c>
      <c r="H85" s="85">
        <v>305700.98586756241</v>
      </c>
      <c r="I85" s="85">
        <v>305700.98586756241</v>
      </c>
      <c r="J85" s="45">
        <f t="shared" si="8"/>
        <v>0</v>
      </c>
      <c r="K85" s="85">
        <v>305700.98586756241</v>
      </c>
      <c r="L85" s="55">
        <f t="shared" si="9"/>
        <v>0</v>
      </c>
      <c r="M85" s="85">
        <v>152850.49293378121</v>
      </c>
      <c r="N85" s="45">
        <f t="shared" si="10"/>
        <v>-0.5</v>
      </c>
      <c r="P85" s="85"/>
      <c r="Q85" s="85"/>
      <c r="S85" s="85"/>
      <c r="U85" s="85"/>
    </row>
    <row r="86" spans="1:21" ht="28.8" x14ac:dyDescent="0.3">
      <c r="A86" s="91" t="s">
        <v>172</v>
      </c>
      <c r="B86" s="42"/>
      <c r="C86" s="42"/>
      <c r="D86" s="52"/>
      <c r="E86" s="23" t="s">
        <v>127</v>
      </c>
      <c r="F86" s="53" t="s">
        <v>138</v>
      </c>
      <c r="G86" s="76">
        <v>6726.65</v>
      </c>
      <c r="H86" s="58">
        <v>14299.014132437567</v>
      </c>
      <c r="I86" s="58">
        <v>14299.014132437567</v>
      </c>
      <c r="J86" s="45">
        <f t="shared" si="8"/>
        <v>0</v>
      </c>
      <c r="K86" s="24">
        <v>14299.014132437567</v>
      </c>
      <c r="L86" s="55">
        <f t="shared" si="9"/>
        <v>0</v>
      </c>
      <c r="M86" s="24">
        <v>7149.5070662187836</v>
      </c>
      <c r="N86" s="45">
        <f t="shared" si="10"/>
        <v>-0.5</v>
      </c>
    </row>
    <row r="87" spans="1:21" x14ac:dyDescent="0.3">
      <c r="A87" s="144"/>
      <c r="B87" s="47"/>
      <c r="C87" s="47"/>
      <c r="D87" s="47" t="s">
        <v>62</v>
      </c>
      <c r="E87" s="47"/>
      <c r="F87" s="46"/>
      <c r="G87" s="50">
        <f>+SUM(G88:G89)</f>
        <v>19223.400000000001</v>
      </c>
      <c r="H87" s="50">
        <f>+SUM(H88:H89)</f>
        <v>35500</v>
      </c>
      <c r="I87" s="50">
        <f>+SUM(I88:I89)</f>
        <v>37275</v>
      </c>
      <c r="J87" s="51">
        <f t="shared" si="8"/>
        <v>5.0000000000000044E-2</v>
      </c>
      <c r="K87" s="50">
        <f>+SUM(K88:K89)</f>
        <v>37275</v>
      </c>
      <c r="L87" s="57">
        <f t="shared" si="9"/>
        <v>0</v>
      </c>
      <c r="M87" s="50">
        <f>+SUM(M88:M89)</f>
        <v>39050</v>
      </c>
      <c r="N87" s="57">
        <f t="shared" si="10"/>
        <v>4.7619047619047672E-2</v>
      </c>
    </row>
    <row r="88" spans="1:21" ht="28.8" x14ac:dyDescent="0.3">
      <c r="A88" s="89" t="s">
        <v>171</v>
      </c>
      <c r="D88" s="52"/>
      <c r="E88" s="23" t="s">
        <v>128</v>
      </c>
      <c r="F88" s="53" t="s">
        <v>137</v>
      </c>
      <c r="G88" s="76">
        <v>19223.400000000001</v>
      </c>
      <c r="H88" s="24">
        <v>35000</v>
      </c>
      <c r="I88" s="24">
        <v>36750</v>
      </c>
      <c r="J88" s="45">
        <f t="shared" si="8"/>
        <v>5.0000000000000044E-2</v>
      </c>
      <c r="K88" s="24">
        <v>36750</v>
      </c>
      <c r="L88" s="55">
        <f t="shared" si="9"/>
        <v>0</v>
      </c>
      <c r="M88" s="24">
        <v>38500</v>
      </c>
      <c r="N88" s="45">
        <f t="shared" si="10"/>
        <v>4.7619047619047672E-2</v>
      </c>
    </row>
    <row r="89" spans="1:21" ht="28.8" x14ac:dyDescent="0.3">
      <c r="A89" s="89" t="s">
        <v>171</v>
      </c>
      <c r="D89" s="52"/>
      <c r="E89" s="23" t="s">
        <v>127</v>
      </c>
      <c r="F89" s="53" t="s">
        <v>138</v>
      </c>
      <c r="G89" s="25">
        <v>0</v>
      </c>
      <c r="H89" s="24">
        <v>500</v>
      </c>
      <c r="I89" s="24">
        <v>525</v>
      </c>
      <c r="J89" s="45">
        <f t="shared" si="8"/>
        <v>5.0000000000000044E-2</v>
      </c>
      <c r="K89" s="24">
        <v>525</v>
      </c>
      <c r="L89" s="55">
        <f t="shared" ref="L89:L107" si="11">+K89/I89-1</f>
        <v>0</v>
      </c>
      <c r="M89" s="24">
        <v>550</v>
      </c>
      <c r="N89" s="45">
        <f t="shared" si="10"/>
        <v>4.7619047619047672E-2</v>
      </c>
    </row>
    <row r="90" spans="1:21" x14ac:dyDescent="0.3">
      <c r="A90" s="143"/>
      <c r="B90" s="42"/>
      <c r="C90" s="42" t="s">
        <v>64</v>
      </c>
      <c r="D90" s="42"/>
      <c r="E90" s="42"/>
      <c r="F90" s="42"/>
      <c r="G90" s="24">
        <f>+G91+G93+G95+G97+G103+G101</f>
        <v>527520.42000000004</v>
      </c>
      <c r="H90" s="24">
        <f>+H91+H93+H95+H97+H103+H101+H99</f>
        <v>438000</v>
      </c>
      <c r="I90" s="24">
        <f>+I91+I93+I95+I97+I103+I101+I99</f>
        <v>222900</v>
      </c>
      <c r="J90" s="45">
        <f t="shared" ref="J90:J100" si="12">+I90/H90-1</f>
        <v>-0.49109589041095891</v>
      </c>
      <c r="K90" s="24">
        <f>+K91+K93+K95+K97+K103+K101</f>
        <v>222900</v>
      </c>
      <c r="L90" s="55">
        <f t="shared" si="11"/>
        <v>0</v>
      </c>
      <c r="M90" s="24">
        <f>+M91+M93+M95+M97+M103+M101</f>
        <v>577800</v>
      </c>
      <c r="N90" s="45">
        <f t="shared" si="10"/>
        <v>1.5921938088829073</v>
      </c>
    </row>
    <row r="91" spans="1:21" s="64" customFormat="1" x14ac:dyDescent="0.3">
      <c r="A91" s="144"/>
      <c r="B91" s="47"/>
      <c r="C91" s="47"/>
      <c r="D91" s="59" t="s">
        <v>65</v>
      </c>
      <c r="E91" s="59"/>
      <c r="F91" s="60"/>
      <c r="G91" s="71">
        <f>+G92</f>
        <v>7000</v>
      </c>
      <c r="H91" s="71">
        <f>+H92</f>
        <v>13000</v>
      </c>
      <c r="I91" s="71">
        <f>+I92</f>
        <v>13650</v>
      </c>
      <c r="J91" s="51">
        <f t="shared" si="12"/>
        <v>5.0000000000000044E-2</v>
      </c>
      <c r="K91" s="71">
        <f>+K92</f>
        <v>13650</v>
      </c>
      <c r="L91" s="57">
        <f t="shared" si="11"/>
        <v>0</v>
      </c>
      <c r="M91" s="71">
        <f>+M92</f>
        <v>14300</v>
      </c>
      <c r="N91" s="57">
        <f t="shared" si="10"/>
        <v>4.7619047619047672E-2</v>
      </c>
      <c r="O91" s="67"/>
      <c r="P91" s="67"/>
    </row>
    <row r="92" spans="1:21" s="64" customFormat="1" x14ac:dyDescent="0.3">
      <c r="A92" s="91" t="s">
        <v>174</v>
      </c>
      <c r="B92" s="63"/>
      <c r="C92" s="63"/>
      <c r="D92" s="72"/>
      <c r="E92" s="23" t="s">
        <v>133</v>
      </c>
      <c r="F92" s="66" t="s">
        <v>140</v>
      </c>
      <c r="G92" s="180">
        <v>7000</v>
      </c>
      <c r="H92" s="24">
        <v>13000</v>
      </c>
      <c r="I92" s="24">
        <v>13650</v>
      </c>
      <c r="J92" s="45">
        <f t="shared" si="12"/>
        <v>5.0000000000000044E-2</v>
      </c>
      <c r="K92" s="24">
        <v>13650</v>
      </c>
      <c r="L92" s="55">
        <f t="shared" si="11"/>
        <v>0</v>
      </c>
      <c r="M92" s="24">
        <v>14300</v>
      </c>
      <c r="N92" s="45">
        <f t="shared" si="10"/>
        <v>4.7619047619047672E-2</v>
      </c>
      <c r="O92" s="67"/>
      <c r="P92" s="67"/>
    </row>
    <row r="93" spans="1:21" s="64" customFormat="1" x14ac:dyDescent="0.3">
      <c r="A93" s="144"/>
      <c r="B93" s="47"/>
      <c r="C93" s="47"/>
      <c r="D93" s="59" t="s">
        <v>66</v>
      </c>
      <c r="E93" s="59"/>
      <c r="F93" s="60"/>
      <c r="G93" s="71">
        <f>+G94</f>
        <v>1114.33</v>
      </c>
      <c r="H93" s="71">
        <f>+H94</f>
        <v>13000</v>
      </c>
      <c r="I93" s="71">
        <f>+I94</f>
        <v>13650</v>
      </c>
      <c r="J93" s="51">
        <f t="shared" si="12"/>
        <v>5.0000000000000044E-2</v>
      </c>
      <c r="K93" s="71">
        <f>+K94</f>
        <v>13650</v>
      </c>
      <c r="L93" s="57">
        <f t="shared" si="11"/>
        <v>0</v>
      </c>
      <c r="M93" s="71">
        <f>+M94</f>
        <v>14300</v>
      </c>
      <c r="N93" s="57">
        <f t="shared" si="10"/>
        <v>4.7619047619047672E-2</v>
      </c>
      <c r="O93" s="67"/>
      <c r="P93" s="67"/>
    </row>
    <row r="94" spans="1:21" s="64" customFormat="1" x14ac:dyDescent="0.3">
      <c r="A94" s="91" t="s">
        <v>174</v>
      </c>
      <c r="B94" s="63"/>
      <c r="C94" s="63"/>
      <c r="D94" s="72"/>
      <c r="E94" s="23" t="s">
        <v>133</v>
      </c>
      <c r="F94" s="66" t="s">
        <v>67</v>
      </c>
      <c r="G94" s="76">
        <v>1114.33</v>
      </c>
      <c r="H94" s="24">
        <v>13000</v>
      </c>
      <c r="I94" s="24">
        <v>13650</v>
      </c>
      <c r="J94" s="45">
        <f t="shared" si="12"/>
        <v>5.0000000000000044E-2</v>
      </c>
      <c r="K94" s="24">
        <v>13650</v>
      </c>
      <c r="L94" s="55">
        <f t="shared" si="11"/>
        <v>0</v>
      </c>
      <c r="M94" s="24">
        <v>14300</v>
      </c>
      <c r="N94" s="45">
        <f t="shared" si="10"/>
        <v>4.7619047619047672E-2</v>
      </c>
      <c r="O94" s="67"/>
      <c r="P94" s="67"/>
    </row>
    <row r="95" spans="1:21" s="64" customFormat="1" x14ac:dyDescent="0.3">
      <c r="A95" s="144"/>
      <c r="B95" s="47"/>
      <c r="C95" s="47"/>
      <c r="D95" s="59" t="s">
        <v>150</v>
      </c>
      <c r="E95" s="59"/>
      <c r="F95" s="60"/>
      <c r="G95" s="71">
        <f>+G96</f>
        <v>0</v>
      </c>
      <c r="H95" s="71">
        <f>+H96</f>
        <v>2000</v>
      </c>
      <c r="I95" s="71">
        <f>+I96</f>
        <v>2100</v>
      </c>
      <c r="J95" s="51">
        <f t="shared" si="12"/>
        <v>5.0000000000000044E-2</v>
      </c>
      <c r="K95" s="71">
        <f>+K96</f>
        <v>2100</v>
      </c>
      <c r="L95" s="57">
        <f t="shared" si="11"/>
        <v>0</v>
      </c>
      <c r="M95" s="71">
        <f>+M96</f>
        <v>2200</v>
      </c>
      <c r="N95" s="57">
        <f t="shared" si="10"/>
        <v>4.7619047619047672E-2</v>
      </c>
      <c r="O95" s="67"/>
      <c r="P95" s="67"/>
    </row>
    <row r="96" spans="1:21" s="64" customFormat="1" x14ac:dyDescent="0.3">
      <c r="A96" s="91" t="s">
        <v>174</v>
      </c>
      <c r="B96" s="63"/>
      <c r="C96" s="63"/>
      <c r="D96" s="72"/>
      <c r="E96" s="23" t="s">
        <v>133</v>
      </c>
      <c r="F96" s="66" t="s">
        <v>140</v>
      </c>
      <c r="G96" s="25">
        <v>0</v>
      </c>
      <c r="H96" s="24">
        <v>2000</v>
      </c>
      <c r="I96" s="24">
        <v>2100</v>
      </c>
      <c r="J96" s="45">
        <f t="shared" si="12"/>
        <v>5.0000000000000044E-2</v>
      </c>
      <c r="K96" s="24">
        <v>2100</v>
      </c>
      <c r="L96" s="55">
        <f t="shared" si="11"/>
        <v>0</v>
      </c>
      <c r="M96" s="24">
        <v>2200</v>
      </c>
      <c r="N96" s="45">
        <f t="shared" si="10"/>
        <v>4.7619047619047672E-2</v>
      </c>
      <c r="O96" s="67"/>
      <c r="P96" s="67"/>
    </row>
    <row r="97" spans="1:14" x14ac:dyDescent="0.3">
      <c r="A97" s="144"/>
      <c r="B97" s="47"/>
      <c r="C97" s="47"/>
      <c r="D97" s="59" t="s">
        <v>68</v>
      </c>
      <c r="E97" s="59"/>
      <c r="F97" s="60"/>
      <c r="G97" s="71">
        <f>+G98</f>
        <v>471029.04</v>
      </c>
      <c r="H97" s="71">
        <f>+H98</f>
        <v>300000</v>
      </c>
      <c r="I97" s="71">
        <f>+I98</f>
        <v>100000</v>
      </c>
      <c r="J97" s="51">
        <f t="shared" si="12"/>
        <v>-0.66666666666666674</v>
      </c>
      <c r="K97" s="71">
        <f>+K98</f>
        <v>100000</v>
      </c>
      <c r="L97" s="57">
        <f t="shared" si="11"/>
        <v>0</v>
      </c>
      <c r="M97" s="71">
        <f>+M98</f>
        <v>450000</v>
      </c>
      <c r="N97" s="57">
        <f t="shared" si="10"/>
        <v>3.5</v>
      </c>
    </row>
    <row r="98" spans="1:14" ht="28.8" x14ac:dyDescent="0.3">
      <c r="A98" s="89" t="s">
        <v>171</v>
      </c>
      <c r="B98" s="63"/>
      <c r="C98" s="63"/>
      <c r="D98" s="65"/>
      <c r="E98" s="23" t="s">
        <v>130</v>
      </c>
      <c r="F98" s="53" t="s">
        <v>145</v>
      </c>
      <c r="G98" s="76">
        <v>471029.04</v>
      </c>
      <c r="H98" s="24">
        <v>300000</v>
      </c>
      <c r="I98" s="24">
        <v>100000</v>
      </c>
      <c r="J98" s="45">
        <f t="shared" si="12"/>
        <v>-0.66666666666666674</v>
      </c>
      <c r="K98" s="24">
        <v>100000</v>
      </c>
      <c r="L98" s="55">
        <f t="shared" si="11"/>
        <v>0</v>
      </c>
      <c r="M98" s="24">
        <v>450000</v>
      </c>
      <c r="N98" s="45">
        <f t="shared" si="10"/>
        <v>3.5</v>
      </c>
    </row>
    <row r="99" spans="1:14" x14ac:dyDescent="0.3">
      <c r="A99" s="144"/>
      <c r="B99" s="47"/>
      <c r="C99" s="47"/>
      <c r="D99" s="59" t="s">
        <v>155</v>
      </c>
      <c r="E99" s="59"/>
      <c r="F99" s="60"/>
      <c r="G99" s="71">
        <f>+G100</f>
        <v>0</v>
      </c>
      <c r="H99" s="71">
        <f>+H100</f>
        <v>10000</v>
      </c>
      <c r="I99" s="71">
        <f>+I100</f>
        <v>0</v>
      </c>
      <c r="J99" s="51">
        <f t="shared" si="12"/>
        <v>-1</v>
      </c>
      <c r="K99" s="71">
        <f>+K100</f>
        <v>0</v>
      </c>
      <c r="L99" s="57"/>
      <c r="M99" s="71">
        <f>+M100</f>
        <v>0</v>
      </c>
      <c r="N99" s="57"/>
    </row>
    <row r="100" spans="1:14" x14ac:dyDescent="0.3">
      <c r="A100" s="89" t="s">
        <v>170</v>
      </c>
      <c r="B100" s="63"/>
      <c r="C100" s="63"/>
      <c r="D100" s="65"/>
      <c r="E100" s="23" t="s">
        <v>130</v>
      </c>
      <c r="F100" s="53" t="s">
        <v>145</v>
      </c>
      <c r="G100" s="25">
        <v>0</v>
      </c>
      <c r="H100" s="24">
        <v>10000</v>
      </c>
      <c r="I100" s="24">
        <v>0</v>
      </c>
      <c r="J100" s="45">
        <f t="shared" si="12"/>
        <v>-1</v>
      </c>
      <c r="K100" s="24">
        <v>0</v>
      </c>
      <c r="L100" s="55"/>
      <c r="M100" s="24">
        <v>0</v>
      </c>
      <c r="N100" s="45"/>
    </row>
    <row r="101" spans="1:14" x14ac:dyDescent="0.3">
      <c r="A101" s="144"/>
      <c r="B101" s="47"/>
      <c r="C101" s="47"/>
      <c r="D101" s="59" t="s">
        <v>154</v>
      </c>
      <c r="E101" s="59"/>
      <c r="F101" s="60"/>
      <c r="G101" s="71">
        <f>+G102</f>
        <v>0</v>
      </c>
      <c r="H101" s="71">
        <f>+H102</f>
        <v>30000</v>
      </c>
      <c r="I101" s="71">
        <f>+I102</f>
        <v>20000</v>
      </c>
      <c r="J101" s="51">
        <f t="shared" ref="J101:J111" si="13">+I101/H101-1</f>
        <v>-0.33333333333333337</v>
      </c>
      <c r="K101" s="71">
        <f>+K102</f>
        <v>20000</v>
      </c>
      <c r="L101" s="57">
        <f t="shared" si="11"/>
        <v>0</v>
      </c>
      <c r="M101" s="71">
        <f>+M102</f>
        <v>20000</v>
      </c>
      <c r="N101" s="57"/>
    </row>
    <row r="102" spans="1:14" ht="28.8" x14ac:dyDescent="0.3">
      <c r="A102" s="89" t="s">
        <v>171</v>
      </c>
      <c r="B102" s="63"/>
      <c r="C102" s="63"/>
      <c r="D102" s="65"/>
      <c r="E102" s="23" t="s">
        <v>130</v>
      </c>
      <c r="F102" s="53" t="s">
        <v>145</v>
      </c>
      <c r="G102" s="25">
        <v>0</v>
      </c>
      <c r="H102" s="24">
        <v>30000</v>
      </c>
      <c r="I102" s="24">
        <v>20000</v>
      </c>
      <c r="J102" s="45">
        <f t="shared" si="13"/>
        <v>-0.33333333333333337</v>
      </c>
      <c r="K102" s="24">
        <v>20000</v>
      </c>
      <c r="L102" s="55">
        <f t="shared" si="11"/>
        <v>0</v>
      </c>
      <c r="M102" s="24">
        <v>20000</v>
      </c>
      <c r="N102" s="45"/>
    </row>
    <row r="103" spans="1:14" x14ac:dyDescent="0.3">
      <c r="A103" s="144"/>
      <c r="B103" s="47"/>
      <c r="C103" s="47"/>
      <c r="D103" s="59" t="s">
        <v>236</v>
      </c>
      <c r="E103" s="59"/>
      <c r="F103" s="60"/>
      <c r="G103" s="50">
        <f>+G104</f>
        <v>48377.05</v>
      </c>
      <c r="H103" s="50">
        <f>+H104</f>
        <v>70000</v>
      </c>
      <c r="I103" s="50">
        <f>+I104</f>
        <v>73500</v>
      </c>
      <c r="J103" s="51">
        <f t="shared" si="13"/>
        <v>5.0000000000000044E-2</v>
      </c>
      <c r="K103" s="50">
        <f>+K104</f>
        <v>73500</v>
      </c>
      <c r="L103" s="57">
        <f t="shared" si="11"/>
        <v>0</v>
      </c>
      <c r="M103" s="50">
        <f>+M104</f>
        <v>77000</v>
      </c>
      <c r="N103" s="57">
        <f>+M103/K103-1</f>
        <v>4.7619047619047672E-2</v>
      </c>
    </row>
    <row r="104" spans="1:14" ht="28.8" x14ac:dyDescent="0.3">
      <c r="A104" s="89" t="s">
        <v>171</v>
      </c>
      <c r="D104" s="52"/>
      <c r="E104" s="23" t="s">
        <v>130</v>
      </c>
      <c r="F104" s="53" t="s">
        <v>145</v>
      </c>
      <c r="G104" s="76">
        <v>48377.05</v>
      </c>
      <c r="H104" s="24">
        <v>70000</v>
      </c>
      <c r="I104" s="24">
        <v>73500</v>
      </c>
      <c r="J104" s="45">
        <f t="shared" si="13"/>
        <v>5.0000000000000044E-2</v>
      </c>
      <c r="K104" s="24">
        <v>73500</v>
      </c>
      <c r="L104" s="55">
        <f t="shared" si="11"/>
        <v>0</v>
      </c>
      <c r="M104" s="24">
        <v>77000</v>
      </c>
      <c r="N104" s="45">
        <f>+M104/K104-1</f>
        <v>4.7619047619047672E-2</v>
      </c>
    </row>
    <row r="105" spans="1:14" x14ac:dyDescent="0.3">
      <c r="A105" s="143"/>
      <c r="B105" s="42"/>
      <c r="C105" s="73" t="s">
        <v>70</v>
      </c>
      <c r="D105" s="42"/>
      <c r="E105" s="73"/>
      <c r="F105" s="42"/>
      <c r="G105" s="24">
        <f>+G106+G108+G110+G112</f>
        <v>26008.589999999997</v>
      </c>
      <c r="H105" s="24">
        <f>+H106+H108+H110+H112</f>
        <v>215000</v>
      </c>
      <c r="I105" s="24">
        <f>+I106+I108+I110+I112</f>
        <v>230000</v>
      </c>
      <c r="J105" s="45">
        <f t="shared" si="13"/>
        <v>6.9767441860465018E-2</v>
      </c>
      <c r="K105" s="24">
        <f>+K106+K108+K110+K112</f>
        <v>230000</v>
      </c>
      <c r="L105" s="55">
        <f t="shared" si="11"/>
        <v>0</v>
      </c>
      <c r="M105" s="24">
        <f>+M106+M108+M110+M112</f>
        <v>236500</v>
      </c>
      <c r="N105" s="45">
        <f>+M105/K105-1</f>
        <v>2.8260869565217339E-2</v>
      </c>
    </row>
    <row r="106" spans="1:14" x14ac:dyDescent="0.3">
      <c r="A106" s="144"/>
      <c r="B106" s="47"/>
      <c r="C106" s="47"/>
      <c r="D106" s="59" t="s">
        <v>71</v>
      </c>
      <c r="E106" s="59"/>
      <c r="F106" s="60"/>
      <c r="G106" s="50">
        <f>+G107</f>
        <v>14421.089999999995</v>
      </c>
      <c r="H106" s="50">
        <f>+H107</f>
        <v>150000</v>
      </c>
      <c r="I106" s="50">
        <f>+I107</f>
        <v>157500</v>
      </c>
      <c r="J106" s="51">
        <f t="shared" si="13"/>
        <v>5.0000000000000044E-2</v>
      </c>
      <c r="K106" s="50">
        <f>+K107</f>
        <v>157500</v>
      </c>
      <c r="L106" s="57">
        <f t="shared" si="11"/>
        <v>0</v>
      </c>
      <c r="M106" s="50">
        <f>+M107</f>
        <v>165000</v>
      </c>
      <c r="N106" s="57">
        <f>+M106/K106-1</f>
        <v>4.7619047619047672E-2</v>
      </c>
    </row>
    <row r="107" spans="1:14" x14ac:dyDescent="0.3">
      <c r="A107" s="89" t="s">
        <v>170</v>
      </c>
      <c r="D107" s="52"/>
      <c r="E107" s="23" t="s">
        <v>127</v>
      </c>
      <c r="F107" s="53" t="s">
        <v>138</v>
      </c>
      <c r="G107" s="76">
        <v>14421.089999999995</v>
      </c>
      <c r="H107" s="24">
        <v>150000</v>
      </c>
      <c r="I107" s="24">
        <v>157500</v>
      </c>
      <c r="J107" s="45">
        <f t="shared" si="13"/>
        <v>5.0000000000000044E-2</v>
      </c>
      <c r="K107" s="24">
        <v>157500</v>
      </c>
      <c r="L107" s="55">
        <f t="shared" si="11"/>
        <v>0</v>
      </c>
      <c r="M107" s="24">
        <v>165000</v>
      </c>
      <c r="N107" s="45">
        <f>+M107/K107-1</f>
        <v>4.7619047619047672E-2</v>
      </c>
    </row>
    <row r="108" spans="1:14" x14ac:dyDescent="0.3">
      <c r="A108" s="144"/>
      <c r="B108" s="47"/>
      <c r="C108" s="47"/>
      <c r="D108" s="59" t="s">
        <v>72</v>
      </c>
      <c r="E108" s="59"/>
      <c r="F108" s="60"/>
      <c r="G108" s="50">
        <f>+G109</f>
        <v>0</v>
      </c>
      <c r="H108" s="50">
        <f>+H109</f>
        <v>20000</v>
      </c>
      <c r="I108" s="50">
        <f>+I109</f>
        <v>21000</v>
      </c>
      <c r="J108" s="51">
        <f t="shared" si="13"/>
        <v>5.0000000000000044E-2</v>
      </c>
      <c r="K108" s="50">
        <f>+K109</f>
        <v>21000</v>
      </c>
      <c r="L108" s="57">
        <f t="shared" ref="L108:L144" si="14">+K108/I108-1</f>
        <v>0</v>
      </c>
      <c r="M108" s="50">
        <f>+M109</f>
        <v>22000</v>
      </c>
      <c r="N108" s="57">
        <f t="shared" ref="N108:N144" si="15">+M108/K108-1</f>
        <v>4.7619047619047672E-2</v>
      </c>
    </row>
    <row r="109" spans="1:14" x14ac:dyDescent="0.3">
      <c r="A109" s="89" t="s">
        <v>170</v>
      </c>
      <c r="D109" s="52"/>
      <c r="E109" s="23" t="s">
        <v>127</v>
      </c>
      <c r="F109" s="53" t="s">
        <v>138</v>
      </c>
      <c r="G109" s="25">
        <v>0</v>
      </c>
      <c r="H109" s="24">
        <v>20000</v>
      </c>
      <c r="I109" s="24">
        <v>21000</v>
      </c>
      <c r="J109" s="45">
        <f t="shared" si="13"/>
        <v>5.0000000000000044E-2</v>
      </c>
      <c r="K109" s="24">
        <v>21000</v>
      </c>
      <c r="L109" s="55">
        <f t="shared" si="14"/>
        <v>0</v>
      </c>
      <c r="M109" s="24">
        <v>22000</v>
      </c>
      <c r="N109" s="45">
        <f t="shared" si="15"/>
        <v>4.7619047619047672E-2</v>
      </c>
    </row>
    <row r="110" spans="1:14" x14ac:dyDescent="0.3">
      <c r="A110" s="144"/>
      <c r="B110" s="47"/>
      <c r="C110" s="47"/>
      <c r="D110" s="59" t="s">
        <v>156</v>
      </c>
      <c r="E110" s="59"/>
      <c r="F110" s="60"/>
      <c r="G110" s="50">
        <f>+G111</f>
        <v>0</v>
      </c>
      <c r="H110" s="50">
        <f>+H111</f>
        <v>30000</v>
      </c>
      <c r="I110" s="50">
        <f>+I111</f>
        <v>31500</v>
      </c>
      <c r="J110" s="51">
        <f t="shared" si="13"/>
        <v>5.0000000000000044E-2</v>
      </c>
      <c r="K110" s="50">
        <f>+K111</f>
        <v>31500</v>
      </c>
      <c r="L110" s="57">
        <f t="shared" si="14"/>
        <v>0</v>
      </c>
      <c r="M110" s="50">
        <f>+M111</f>
        <v>33000</v>
      </c>
      <c r="N110" s="57">
        <f t="shared" si="15"/>
        <v>4.7619047619047672E-2</v>
      </c>
    </row>
    <row r="111" spans="1:14" x14ac:dyDescent="0.3">
      <c r="A111" s="89" t="s">
        <v>170</v>
      </c>
      <c r="D111" s="52"/>
      <c r="E111" s="23" t="s">
        <v>127</v>
      </c>
      <c r="F111" s="53" t="s">
        <v>138</v>
      </c>
      <c r="G111" s="25">
        <v>0</v>
      </c>
      <c r="H111" s="24">
        <v>30000</v>
      </c>
      <c r="I111" s="24">
        <v>31500</v>
      </c>
      <c r="J111" s="45">
        <f t="shared" si="13"/>
        <v>5.0000000000000044E-2</v>
      </c>
      <c r="K111" s="24">
        <v>31500</v>
      </c>
      <c r="L111" s="55">
        <f t="shared" si="14"/>
        <v>0</v>
      </c>
      <c r="M111" s="24">
        <v>33000</v>
      </c>
      <c r="N111" s="45">
        <f t="shared" si="15"/>
        <v>4.7619047619047672E-2</v>
      </c>
    </row>
    <row r="112" spans="1:14" x14ac:dyDescent="0.3">
      <c r="A112" s="144"/>
      <c r="B112" s="47"/>
      <c r="C112" s="47"/>
      <c r="D112" s="59" t="s">
        <v>157</v>
      </c>
      <c r="E112" s="59"/>
      <c r="F112" s="60"/>
      <c r="G112" s="50">
        <f>+G113</f>
        <v>11587.5</v>
      </c>
      <c r="H112" s="50">
        <f>+H113</f>
        <v>15000</v>
      </c>
      <c r="I112" s="50">
        <v>20000</v>
      </c>
      <c r="J112" s="51">
        <f t="shared" ref="J112:J118" si="16">+I112/H112-1</f>
        <v>0.33333333333333326</v>
      </c>
      <c r="K112" s="50">
        <f>+K113</f>
        <v>20000</v>
      </c>
      <c r="L112" s="57">
        <f t="shared" si="14"/>
        <v>0</v>
      </c>
      <c r="M112" s="50">
        <f>+M113</f>
        <v>16500</v>
      </c>
      <c r="N112" s="57">
        <f t="shared" si="15"/>
        <v>-0.17500000000000004</v>
      </c>
    </row>
    <row r="113" spans="1:15" x14ac:dyDescent="0.3">
      <c r="A113" s="89" t="s">
        <v>170</v>
      </c>
      <c r="D113" s="52"/>
      <c r="E113" s="23" t="s">
        <v>127</v>
      </c>
      <c r="F113" s="53" t="s">
        <v>138</v>
      </c>
      <c r="G113" s="76">
        <v>11587.5</v>
      </c>
      <c r="H113" s="24">
        <v>15000</v>
      </c>
      <c r="I113" s="24">
        <v>20000</v>
      </c>
      <c r="J113" s="45">
        <f t="shared" si="16"/>
        <v>0.33333333333333326</v>
      </c>
      <c r="K113" s="24">
        <v>20000</v>
      </c>
      <c r="L113" s="55">
        <f t="shared" si="14"/>
        <v>0</v>
      </c>
      <c r="M113" s="24">
        <v>16500</v>
      </c>
      <c r="N113" s="45">
        <f t="shared" si="15"/>
        <v>-0.17500000000000004</v>
      </c>
    </row>
    <row r="114" spans="1:15" x14ac:dyDescent="0.3">
      <c r="A114" s="143"/>
      <c r="B114" s="42"/>
      <c r="C114" s="42" t="s">
        <v>73</v>
      </c>
      <c r="D114" s="42"/>
      <c r="E114" s="73"/>
      <c r="F114" s="73"/>
      <c r="G114" s="24">
        <f>+G115+G119+G121+G123+G125</f>
        <v>138136.65</v>
      </c>
      <c r="H114" s="24">
        <f>+H115+H119+H121+H123+H125+H117</f>
        <v>309000</v>
      </c>
      <c r="I114" s="24">
        <f>+I115+I119+I121+I123+I125+I117</f>
        <v>232350</v>
      </c>
      <c r="J114" s="45">
        <f t="shared" si="16"/>
        <v>-0.24805825242718449</v>
      </c>
      <c r="K114" s="24">
        <f>+K115+K119+K121+K123+K125+K117</f>
        <v>232350</v>
      </c>
      <c r="L114" s="55">
        <f t="shared" si="14"/>
        <v>0</v>
      </c>
      <c r="M114" s="24">
        <f>+M115+M119+M121+M123+M125+M117</f>
        <v>231700</v>
      </c>
      <c r="N114" s="45">
        <f t="shared" si="15"/>
        <v>-2.7975037658704016E-3</v>
      </c>
    </row>
    <row r="115" spans="1:15" x14ac:dyDescent="0.3">
      <c r="A115" s="144"/>
      <c r="B115" s="47"/>
      <c r="C115" s="47"/>
      <c r="D115" s="59" t="s">
        <v>74</v>
      </c>
      <c r="E115" s="59"/>
      <c r="F115" s="60"/>
      <c r="G115" s="50">
        <f>+G116</f>
        <v>121636.65</v>
      </c>
      <c r="H115" s="50">
        <f>+H116</f>
        <v>140000</v>
      </c>
      <c r="I115" s="50">
        <f>+I116</f>
        <v>100000</v>
      </c>
      <c r="J115" s="51">
        <f t="shared" si="16"/>
        <v>-0.2857142857142857</v>
      </c>
      <c r="K115" s="50">
        <f>+K116</f>
        <v>100000</v>
      </c>
      <c r="L115" s="57">
        <f t="shared" si="14"/>
        <v>0</v>
      </c>
      <c r="M115" s="50">
        <f>+M116</f>
        <v>99000</v>
      </c>
      <c r="N115" s="57">
        <f t="shared" si="15"/>
        <v>-1.0000000000000009E-2</v>
      </c>
    </row>
    <row r="116" spans="1:15" ht="28.8" x14ac:dyDescent="0.3">
      <c r="A116" s="89" t="s">
        <v>171</v>
      </c>
      <c r="D116" s="52"/>
      <c r="E116" s="23" t="s">
        <v>127</v>
      </c>
      <c r="F116" s="53" t="s">
        <v>138</v>
      </c>
      <c r="G116" s="76">
        <v>121636.65</v>
      </c>
      <c r="H116" s="24">
        <v>140000</v>
      </c>
      <c r="I116" s="24">
        <v>100000</v>
      </c>
      <c r="J116" s="45">
        <f t="shared" si="16"/>
        <v>-0.2857142857142857</v>
      </c>
      <c r="K116" s="24">
        <v>100000</v>
      </c>
      <c r="L116" s="55">
        <f t="shared" si="14"/>
        <v>0</v>
      </c>
      <c r="M116" s="24">
        <v>99000</v>
      </c>
      <c r="N116" s="45">
        <f t="shared" si="15"/>
        <v>-1.0000000000000009E-2</v>
      </c>
    </row>
    <row r="117" spans="1:15" x14ac:dyDescent="0.3">
      <c r="A117" s="144"/>
      <c r="B117" s="47"/>
      <c r="C117" s="47"/>
      <c r="D117" s="59" t="s">
        <v>75</v>
      </c>
      <c r="E117" s="59"/>
      <c r="F117" s="60"/>
      <c r="G117" s="50">
        <f>+G118</f>
        <v>0</v>
      </c>
      <c r="H117" s="50">
        <f>+H118</f>
        <v>140000</v>
      </c>
      <c r="I117" s="50">
        <f>+I118</f>
        <v>100000</v>
      </c>
      <c r="J117" s="51">
        <f t="shared" si="16"/>
        <v>-0.2857142857142857</v>
      </c>
      <c r="K117" s="50">
        <f>+K118</f>
        <v>100000</v>
      </c>
      <c r="L117" s="57">
        <f t="shared" si="14"/>
        <v>0</v>
      </c>
      <c r="M117" s="50">
        <f>+M118</f>
        <v>99000</v>
      </c>
      <c r="N117" s="57">
        <f t="shared" si="15"/>
        <v>-1.0000000000000009E-2</v>
      </c>
      <c r="O117" s="74"/>
    </row>
    <row r="118" spans="1:15" x14ac:dyDescent="0.3">
      <c r="A118" s="89" t="s">
        <v>170</v>
      </c>
      <c r="D118" s="52"/>
      <c r="E118" s="23" t="s">
        <v>127</v>
      </c>
      <c r="F118" s="53" t="s">
        <v>138</v>
      </c>
      <c r="G118" s="25">
        <v>0</v>
      </c>
      <c r="H118" s="24">
        <v>140000</v>
      </c>
      <c r="I118" s="24">
        <v>100000</v>
      </c>
      <c r="J118" s="45">
        <f t="shared" si="16"/>
        <v>-0.2857142857142857</v>
      </c>
      <c r="K118" s="24">
        <v>100000</v>
      </c>
      <c r="L118" s="55">
        <f t="shared" si="14"/>
        <v>0</v>
      </c>
      <c r="M118" s="24">
        <v>99000</v>
      </c>
      <c r="N118" s="45">
        <f t="shared" si="15"/>
        <v>-1.0000000000000009E-2</v>
      </c>
    </row>
    <row r="119" spans="1:15" x14ac:dyDescent="0.3">
      <c r="A119" s="144"/>
      <c r="B119" s="47"/>
      <c r="C119" s="47"/>
      <c r="D119" s="59" t="s">
        <v>76</v>
      </c>
      <c r="E119" s="59"/>
      <c r="F119" s="60"/>
      <c r="G119" s="50">
        <f>+G120</f>
        <v>0</v>
      </c>
      <c r="H119" s="50">
        <f>+H120</f>
        <v>10000</v>
      </c>
      <c r="I119" s="50">
        <f>+I120</f>
        <v>10500</v>
      </c>
      <c r="J119" s="51">
        <f t="shared" ref="J119:J132" si="17">+I119/H119-1</f>
        <v>5.0000000000000044E-2</v>
      </c>
      <c r="K119" s="50">
        <f>+K120</f>
        <v>10500</v>
      </c>
      <c r="L119" s="57">
        <f t="shared" si="14"/>
        <v>0</v>
      </c>
      <c r="M119" s="50">
        <f>+M120</f>
        <v>11000</v>
      </c>
      <c r="N119" s="57">
        <f t="shared" si="15"/>
        <v>4.7619047619047672E-2</v>
      </c>
    </row>
    <row r="120" spans="1:15" x14ac:dyDescent="0.3">
      <c r="A120" s="89" t="s">
        <v>170</v>
      </c>
      <c r="D120" s="52"/>
      <c r="E120" s="23" t="s">
        <v>130</v>
      </c>
      <c r="F120" s="53" t="s">
        <v>145</v>
      </c>
      <c r="G120" s="25">
        <v>0</v>
      </c>
      <c r="H120" s="24">
        <v>10000</v>
      </c>
      <c r="I120" s="24">
        <v>10500</v>
      </c>
      <c r="J120" s="45">
        <f t="shared" si="17"/>
        <v>5.0000000000000044E-2</v>
      </c>
      <c r="K120" s="24">
        <v>10500</v>
      </c>
      <c r="L120" s="55">
        <f t="shared" si="14"/>
        <v>0</v>
      </c>
      <c r="M120" s="24">
        <v>11000</v>
      </c>
      <c r="N120" s="45">
        <f t="shared" si="15"/>
        <v>4.7619047619047672E-2</v>
      </c>
    </row>
    <row r="121" spans="1:15" s="22" customFormat="1" x14ac:dyDescent="0.3">
      <c r="A121" s="144"/>
      <c r="B121" s="47"/>
      <c r="C121" s="47"/>
      <c r="D121" s="59" t="s">
        <v>77</v>
      </c>
      <c r="E121" s="59"/>
      <c r="F121" s="60"/>
      <c r="G121" s="50">
        <f>+G122</f>
        <v>16500</v>
      </c>
      <c r="H121" s="50">
        <f>+H122</f>
        <v>15000</v>
      </c>
      <c r="I121" s="50">
        <f>+I122</f>
        <v>15750</v>
      </c>
      <c r="J121" s="51">
        <f t="shared" si="17"/>
        <v>5.0000000000000044E-2</v>
      </c>
      <c r="K121" s="50">
        <f>+K122</f>
        <v>15750</v>
      </c>
      <c r="L121" s="57">
        <f t="shared" si="14"/>
        <v>0</v>
      </c>
      <c r="M121" s="50">
        <f>+M122</f>
        <v>16500</v>
      </c>
      <c r="N121" s="57">
        <f t="shared" si="15"/>
        <v>4.7619047619047672E-2</v>
      </c>
    </row>
    <row r="122" spans="1:15" s="22" customFormat="1" x14ac:dyDescent="0.3">
      <c r="A122" s="89" t="s">
        <v>170</v>
      </c>
      <c r="B122" s="23"/>
      <c r="C122" s="23"/>
      <c r="D122" s="52"/>
      <c r="E122" s="23" t="s">
        <v>127</v>
      </c>
      <c r="F122" s="53" t="s">
        <v>138</v>
      </c>
      <c r="G122" s="180">
        <v>16500</v>
      </c>
      <c r="H122" s="24">
        <v>15000</v>
      </c>
      <c r="I122" s="24">
        <v>15750</v>
      </c>
      <c r="J122" s="45">
        <f t="shared" si="17"/>
        <v>5.0000000000000044E-2</v>
      </c>
      <c r="K122" s="24">
        <v>15750</v>
      </c>
      <c r="L122" s="55">
        <f t="shared" si="14"/>
        <v>0</v>
      </c>
      <c r="M122" s="24">
        <v>16500</v>
      </c>
      <c r="N122" s="45">
        <f t="shared" si="15"/>
        <v>4.7619047619047672E-2</v>
      </c>
    </row>
    <row r="123" spans="1:15" s="22" customFormat="1" x14ac:dyDescent="0.3">
      <c r="A123" s="144"/>
      <c r="B123" s="47"/>
      <c r="C123" s="47"/>
      <c r="D123" s="59" t="s">
        <v>78</v>
      </c>
      <c r="E123" s="59"/>
      <c r="F123" s="60"/>
      <c r="G123" s="50">
        <f>+G124</f>
        <v>0</v>
      </c>
      <c r="H123" s="50">
        <f>+H124</f>
        <v>2000</v>
      </c>
      <c r="I123" s="50">
        <f>+I124</f>
        <v>2100</v>
      </c>
      <c r="J123" s="51">
        <f t="shared" si="17"/>
        <v>5.0000000000000044E-2</v>
      </c>
      <c r="K123" s="50">
        <f>+K124</f>
        <v>2100</v>
      </c>
      <c r="L123" s="57">
        <f t="shared" si="14"/>
        <v>0</v>
      </c>
      <c r="M123" s="50">
        <f>+M124</f>
        <v>2200</v>
      </c>
      <c r="N123" s="57">
        <f t="shared" si="15"/>
        <v>4.7619047619047672E-2</v>
      </c>
    </row>
    <row r="124" spans="1:15" s="22" customFormat="1" x14ac:dyDescent="0.3">
      <c r="A124" s="89" t="s">
        <v>170</v>
      </c>
      <c r="B124" s="23"/>
      <c r="C124" s="23"/>
      <c r="D124" s="52"/>
      <c r="E124" s="23" t="s">
        <v>127</v>
      </c>
      <c r="F124" s="53" t="s">
        <v>138</v>
      </c>
      <c r="G124" s="25">
        <v>0</v>
      </c>
      <c r="H124" s="24">
        <v>2000</v>
      </c>
      <c r="I124" s="24">
        <v>2100</v>
      </c>
      <c r="J124" s="45">
        <f t="shared" si="17"/>
        <v>5.0000000000000044E-2</v>
      </c>
      <c r="K124" s="24">
        <v>2100</v>
      </c>
      <c r="L124" s="55">
        <f t="shared" si="14"/>
        <v>0</v>
      </c>
      <c r="M124" s="24">
        <v>2200</v>
      </c>
      <c r="N124" s="45">
        <f t="shared" si="15"/>
        <v>4.7619047619047672E-2</v>
      </c>
    </row>
    <row r="125" spans="1:15" s="22" customFormat="1" x14ac:dyDescent="0.3">
      <c r="A125" s="144"/>
      <c r="B125" s="47"/>
      <c r="C125" s="47"/>
      <c r="D125" s="59" t="s">
        <v>79</v>
      </c>
      <c r="E125" s="59"/>
      <c r="F125" s="60"/>
      <c r="G125" s="50">
        <f>+G126</f>
        <v>0</v>
      </c>
      <c r="H125" s="50">
        <f>+H126</f>
        <v>2000</v>
      </c>
      <c r="I125" s="50">
        <f>+I126</f>
        <v>4000</v>
      </c>
      <c r="J125" s="51">
        <f t="shared" si="17"/>
        <v>1</v>
      </c>
      <c r="K125" s="50">
        <f>+K126</f>
        <v>4000</v>
      </c>
      <c r="L125" s="57">
        <f t="shared" si="14"/>
        <v>0</v>
      </c>
      <c r="M125" s="50">
        <f>+M126</f>
        <v>4000</v>
      </c>
      <c r="N125" s="57">
        <f t="shared" si="15"/>
        <v>0</v>
      </c>
    </row>
    <row r="126" spans="1:15" s="22" customFormat="1" x14ac:dyDescent="0.3">
      <c r="A126" s="89" t="s">
        <v>170</v>
      </c>
      <c r="B126" s="23"/>
      <c r="C126" s="23"/>
      <c r="D126" s="52"/>
      <c r="E126" s="23" t="s">
        <v>127</v>
      </c>
      <c r="F126" s="53" t="s">
        <v>138</v>
      </c>
      <c r="G126" s="25">
        <v>0</v>
      </c>
      <c r="H126" s="24">
        <v>2000</v>
      </c>
      <c r="I126" s="24">
        <v>4000</v>
      </c>
      <c r="J126" s="45">
        <f t="shared" si="17"/>
        <v>1</v>
      </c>
      <c r="K126" s="24">
        <v>4000</v>
      </c>
      <c r="L126" s="55">
        <f t="shared" si="14"/>
        <v>0</v>
      </c>
      <c r="M126" s="24">
        <v>4000</v>
      </c>
      <c r="N126" s="45">
        <f t="shared" si="15"/>
        <v>0</v>
      </c>
    </row>
    <row r="127" spans="1:15" s="22" customFormat="1" x14ac:dyDescent="0.3">
      <c r="A127" s="143"/>
      <c r="B127" s="42"/>
      <c r="C127" s="42" t="s">
        <v>80</v>
      </c>
      <c r="D127" s="42"/>
      <c r="E127" s="73"/>
      <c r="F127" s="73"/>
      <c r="G127" s="24">
        <f>+G128+G133+G136+G138+G130</f>
        <v>59915</v>
      </c>
      <c r="H127" s="24">
        <f>+H128+H133+H136+H138+H130</f>
        <v>341000</v>
      </c>
      <c r="I127" s="24">
        <f>+I128+I133+I136+I138+I130</f>
        <v>453050</v>
      </c>
      <c r="J127" s="45">
        <f t="shared" si="17"/>
        <v>0.32859237536656893</v>
      </c>
      <c r="K127" s="24">
        <f>+K128+K133+K136+K138+K130</f>
        <v>498050</v>
      </c>
      <c r="L127" s="55">
        <f t="shared" si="14"/>
        <v>9.9326785123054817E-2</v>
      </c>
      <c r="M127" s="24">
        <f>+M128+M133+M136+M138+M130</f>
        <v>375100</v>
      </c>
      <c r="N127" s="45">
        <f t="shared" si="15"/>
        <v>-0.24686276478265234</v>
      </c>
    </row>
    <row r="128" spans="1:15" s="22" customFormat="1" x14ac:dyDescent="0.3">
      <c r="A128" s="144"/>
      <c r="B128" s="47"/>
      <c r="C128" s="47"/>
      <c r="D128" s="59" t="s">
        <v>158</v>
      </c>
      <c r="E128" s="59"/>
      <c r="F128" s="60"/>
      <c r="G128" s="50">
        <f>+SUM(G129:G131)</f>
        <v>59915</v>
      </c>
      <c r="H128" s="50">
        <f>+H129</f>
        <v>70000</v>
      </c>
      <c r="I128" s="50">
        <f>+I129</f>
        <v>73500</v>
      </c>
      <c r="J128" s="51">
        <f t="shared" si="17"/>
        <v>5.0000000000000044E-2</v>
      </c>
      <c r="K128" s="50">
        <f>+K129</f>
        <v>73500</v>
      </c>
      <c r="L128" s="57">
        <f t="shared" si="14"/>
        <v>0</v>
      </c>
      <c r="M128" s="50">
        <f>+M129</f>
        <v>77000</v>
      </c>
      <c r="N128" s="57">
        <f t="shared" si="15"/>
        <v>4.7619047619047672E-2</v>
      </c>
    </row>
    <row r="129" spans="1:16" s="22" customFormat="1" x14ac:dyDescent="0.3">
      <c r="A129" s="89" t="s">
        <v>170</v>
      </c>
      <c r="B129" s="23"/>
      <c r="C129" s="23"/>
      <c r="D129" s="52"/>
      <c r="E129" s="23" t="s">
        <v>127</v>
      </c>
      <c r="F129" s="53" t="s">
        <v>138</v>
      </c>
      <c r="G129" s="76">
        <v>59915</v>
      </c>
      <c r="H129" s="24">
        <v>70000</v>
      </c>
      <c r="I129" s="24">
        <v>73500</v>
      </c>
      <c r="J129" s="45">
        <f t="shared" si="17"/>
        <v>5.0000000000000044E-2</v>
      </c>
      <c r="K129" s="24">
        <v>73500</v>
      </c>
      <c r="L129" s="55">
        <f t="shared" si="14"/>
        <v>0</v>
      </c>
      <c r="M129" s="24">
        <v>77000</v>
      </c>
      <c r="N129" s="45">
        <f t="shared" si="15"/>
        <v>4.7619047619047672E-2</v>
      </c>
    </row>
    <row r="130" spans="1:16" s="22" customFormat="1" x14ac:dyDescent="0.3">
      <c r="A130" s="144"/>
      <c r="B130" s="47"/>
      <c r="C130" s="47"/>
      <c r="D130" s="59" t="s">
        <v>159</v>
      </c>
      <c r="E130" s="59"/>
      <c r="F130" s="60"/>
      <c r="G130" s="50">
        <f>+SUM(G131:G132)</f>
        <v>0</v>
      </c>
      <c r="H130" s="50">
        <f>+SUM(H131:H132)</f>
        <v>80000</v>
      </c>
      <c r="I130" s="50">
        <f>+SUM(I131:I132)</f>
        <v>84000</v>
      </c>
      <c r="J130" s="51">
        <f t="shared" si="17"/>
        <v>5.0000000000000044E-2</v>
      </c>
      <c r="K130" s="50">
        <f>+SUM(K131:K132)</f>
        <v>84000</v>
      </c>
      <c r="L130" s="57">
        <f t="shared" si="14"/>
        <v>0</v>
      </c>
      <c r="M130" s="50">
        <f>+SUM(M131:M132)</f>
        <v>88000</v>
      </c>
      <c r="N130" s="57">
        <f t="shared" si="15"/>
        <v>4.7619047619047672E-2</v>
      </c>
    </row>
    <row r="131" spans="1:16" s="22" customFormat="1" x14ac:dyDescent="0.3">
      <c r="A131" s="89" t="s">
        <v>170</v>
      </c>
      <c r="B131" s="23"/>
      <c r="C131" s="23"/>
      <c r="D131" s="52"/>
      <c r="E131" s="23" t="s">
        <v>130</v>
      </c>
      <c r="F131" s="53" t="s">
        <v>145</v>
      </c>
      <c r="G131" s="25">
        <v>0</v>
      </c>
      <c r="H131" s="24">
        <v>10000</v>
      </c>
      <c r="I131" s="24">
        <v>10500</v>
      </c>
      <c r="J131" s="45">
        <f t="shared" si="17"/>
        <v>5.0000000000000044E-2</v>
      </c>
      <c r="K131" s="24">
        <v>10500</v>
      </c>
      <c r="L131" s="55">
        <f t="shared" si="14"/>
        <v>0</v>
      </c>
      <c r="M131" s="24">
        <v>11000</v>
      </c>
      <c r="N131" s="45">
        <f t="shared" si="15"/>
        <v>4.7619047619047672E-2</v>
      </c>
    </row>
    <row r="132" spans="1:16" s="22" customFormat="1" x14ac:dyDescent="0.3">
      <c r="A132" s="89" t="s">
        <v>170</v>
      </c>
      <c r="B132" s="23"/>
      <c r="C132" s="23"/>
      <c r="D132" s="52"/>
      <c r="E132" s="23" t="s">
        <v>127</v>
      </c>
      <c r="F132" s="53" t="s">
        <v>138</v>
      </c>
      <c r="G132" s="25">
        <v>0</v>
      </c>
      <c r="H132" s="24">
        <v>70000</v>
      </c>
      <c r="I132" s="24">
        <v>73500</v>
      </c>
      <c r="J132" s="45">
        <f t="shared" si="17"/>
        <v>5.0000000000000044E-2</v>
      </c>
      <c r="K132" s="24">
        <v>73500</v>
      </c>
      <c r="L132" s="55">
        <f t="shared" si="14"/>
        <v>0</v>
      </c>
      <c r="M132" s="24">
        <v>77000</v>
      </c>
      <c r="N132" s="45">
        <f t="shared" si="15"/>
        <v>4.7619047619047672E-2</v>
      </c>
    </row>
    <row r="133" spans="1:16" s="22" customFormat="1" x14ac:dyDescent="0.3">
      <c r="A133" s="144"/>
      <c r="B133" s="47"/>
      <c r="C133" s="47"/>
      <c r="D133" s="59" t="s">
        <v>237</v>
      </c>
      <c r="E133" s="59"/>
      <c r="F133" s="60"/>
      <c r="G133" s="50">
        <f>+G134+G135</f>
        <v>0</v>
      </c>
      <c r="H133" s="50">
        <f>+H134</f>
        <v>100000</v>
      </c>
      <c r="I133" s="50">
        <f>+I134+I135</f>
        <v>200000</v>
      </c>
      <c r="J133" s="51">
        <f>+I133/H133-1</f>
        <v>1</v>
      </c>
      <c r="K133" s="50">
        <f>+K134+K135</f>
        <v>245000</v>
      </c>
      <c r="L133" s="57">
        <f t="shared" si="14"/>
        <v>0.22500000000000009</v>
      </c>
      <c r="M133" s="50">
        <f>+M134</f>
        <v>110000</v>
      </c>
      <c r="N133" s="57">
        <f t="shared" si="15"/>
        <v>-0.55102040816326525</v>
      </c>
    </row>
    <row r="134" spans="1:16" s="22" customFormat="1" x14ac:dyDescent="0.3">
      <c r="A134" s="89" t="s">
        <v>170</v>
      </c>
      <c r="B134" s="23"/>
      <c r="C134" s="23"/>
      <c r="D134" s="52"/>
      <c r="E134" s="23" t="s">
        <v>130</v>
      </c>
      <c r="F134" s="53" t="s">
        <v>145</v>
      </c>
      <c r="G134" s="25">
        <v>0</v>
      </c>
      <c r="H134" s="24">
        <v>100000</v>
      </c>
      <c r="I134" s="24">
        <v>100000</v>
      </c>
      <c r="J134" s="45">
        <f>+I134/H134-1</f>
        <v>0</v>
      </c>
      <c r="K134" s="24">
        <v>105000</v>
      </c>
      <c r="L134" s="55">
        <f t="shared" si="14"/>
        <v>5.0000000000000044E-2</v>
      </c>
      <c r="M134" s="24">
        <v>110000</v>
      </c>
      <c r="N134" s="45">
        <f t="shared" si="15"/>
        <v>4.7619047619047672E-2</v>
      </c>
    </row>
    <row r="135" spans="1:16" s="22" customFormat="1" x14ac:dyDescent="0.3">
      <c r="A135" s="89" t="s">
        <v>170</v>
      </c>
      <c r="B135" s="23"/>
      <c r="C135" s="23"/>
      <c r="D135" s="52"/>
      <c r="E135" s="23" t="s">
        <v>130</v>
      </c>
      <c r="F135" s="53" t="s">
        <v>144</v>
      </c>
      <c r="G135" s="25">
        <v>0</v>
      </c>
      <c r="H135" s="24">
        <v>0</v>
      </c>
      <c r="I135" s="24">
        <v>100000</v>
      </c>
      <c r="J135" s="45"/>
      <c r="K135" s="24">
        <v>140000</v>
      </c>
      <c r="L135" s="55">
        <f t="shared" si="14"/>
        <v>0.39999999999999991</v>
      </c>
      <c r="M135" s="24">
        <v>0</v>
      </c>
      <c r="N135" s="45">
        <f t="shared" si="15"/>
        <v>-1</v>
      </c>
    </row>
    <row r="136" spans="1:16" s="22" customFormat="1" x14ac:dyDescent="0.3">
      <c r="A136" s="144"/>
      <c r="B136" s="47"/>
      <c r="C136" s="47"/>
      <c r="D136" s="59" t="s">
        <v>160</v>
      </c>
      <c r="E136" s="59"/>
      <c r="F136" s="60"/>
      <c r="G136" s="50">
        <f>+G137</f>
        <v>0</v>
      </c>
      <c r="H136" s="50">
        <f>+H137</f>
        <v>11000</v>
      </c>
      <c r="I136" s="50">
        <f>+I137</f>
        <v>11550</v>
      </c>
      <c r="J136" s="51">
        <f t="shared" ref="J136:J148" si="18">+I136/H136-1</f>
        <v>5.0000000000000044E-2</v>
      </c>
      <c r="K136" s="50">
        <f>+K137</f>
        <v>11550</v>
      </c>
      <c r="L136" s="57">
        <f t="shared" si="14"/>
        <v>0</v>
      </c>
      <c r="M136" s="50">
        <f>+M137</f>
        <v>12100</v>
      </c>
      <c r="N136" s="57">
        <f t="shared" si="15"/>
        <v>4.7619047619047672E-2</v>
      </c>
    </row>
    <row r="137" spans="1:16" s="22" customFormat="1" x14ac:dyDescent="0.3">
      <c r="A137" s="89" t="s">
        <v>170</v>
      </c>
      <c r="B137" s="23"/>
      <c r="C137" s="23"/>
      <c r="D137" s="52"/>
      <c r="E137" s="23" t="s">
        <v>130</v>
      </c>
      <c r="F137" s="53" t="s">
        <v>145</v>
      </c>
      <c r="G137" s="25">
        <v>0</v>
      </c>
      <c r="H137" s="24">
        <v>11000</v>
      </c>
      <c r="I137" s="24">
        <v>11550</v>
      </c>
      <c r="J137" s="45">
        <f t="shared" si="18"/>
        <v>5.0000000000000044E-2</v>
      </c>
      <c r="K137" s="24">
        <v>11550</v>
      </c>
      <c r="L137" s="55">
        <f t="shared" si="14"/>
        <v>0</v>
      </c>
      <c r="M137" s="24">
        <v>12100</v>
      </c>
      <c r="N137" s="45">
        <f t="shared" si="15"/>
        <v>4.7619047619047672E-2</v>
      </c>
    </row>
    <row r="138" spans="1:16" s="22" customFormat="1" x14ac:dyDescent="0.3">
      <c r="A138" s="144"/>
      <c r="B138" s="47"/>
      <c r="C138" s="47"/>
      <c r="D138" s="59" t="s">
        <v>148</v>
      </c>
      <c r="E138" s="59"/>
      <c r="F138" s="60"/>
      <c r="G138" s="50">
        <f>+G139</f>
        <v>0</v>
      </c>
      <c r="H138" s="50">
        <f>+H139</f>
        <v>80000</v>
      </c>
      <c r="I138" s="50">
        <f>+I139</f>
        <v>84000</v>
      </c>
      <c r="J138" s="51">
        <f t="shared" si="18"/>
        <v>5.0000000000000044E-2</v>
      </c>
      <c r="K138" s="50">
        <f>+K139</f>
        <v>84000</v>
      </c>
      <c r="L138" s="57">
        <f t="shared" si="14"/>
        <v>0</v>
      </c>
      <c r="M138" s="50">
        <f>+M139</f>
        <v>88000</v>
      </c>
      <c r="N138" s="57">
        <f t="shared" si="15"/>
        <v>4.7619047619047672E-2</v>
      </c>
    </row>
    <row r="139" spans="1:16" s="22" customFormat="1" ht="28.8" x14ac:dyDescent="0.3">
      <c r="A139" s="89" t="s">
        <v>171</v>
      </c>
      <c r="B139" s="23"/>
      <c r="C139" s="23"/>
      <c r="D139" s="52"/>
      <c r="E139" s="23" t="s">
        <v>130</v>
      </c>
      <c r="F139" s="53" t="s">
        <v>145</v>
      </c>
      <c r="G139" s="25">
        <v>0</v>
      </c>
      <c r="H139" s="24">
        <v>80000</v>
      </c>
      <c r="I139" s="24">
        <v>84000</v>
      </c>
      <c r="J139" s="45">
        <f t="shared" si="18"/>
        <v>5.0000000000000044E-2</v>
      </c>
      <c r="K139" s="24">
        <v>84000</v>
      </c>
      <c r="L139" s="55">
        <f t="shared" si="14"/>
        <v>0</v>
      </c>
      <c r="M139" s="24">
        <v>88000</v>
      </c>
      <c r="N139" s="45">
        <f t="shared" si="15"/>
        <v>4.7619047619047672E-2</v>
      </c>
    </row>
    <row r="140" spans="1:16" x14ac:dyDescent="0.3">
      <c r="A140" s="143"/>
      <c r="B140" s="42"/>
      <c r="C140" s="42" t="s">
        <v>81</v>
      </c>
      <c r="D140" s="42"/>
      <c r="E140" s="73"/>
      <c r="F140" s="73"/>
      <c r="G140" s="24">
        <f>+G141+G143+G145+G147</f>
        <v>26847.5</v>
      </c>
      <c r="H140" s="24">
        <f>+H141+H143+H145+H147</f>
        <v>145000</v>
      </c>
      <c r="I140" s="24">
        <f>+I141+I143+I145+I147</f>
        <v>297250</v>
      </c>
      <c r="J140" s="45">
        <f t="shared" si="18"/>
        <v>1.0499999999999998</v>
      </c>
      <c r="K140" s="24">
        <f>+K141+K143+K145+K147</f>
        <v>347250</v>
      </c>
      <c r="L140" s="55">
        <f t="shared" si="14"/>
        <v>0.16820857863751049</v>
      </c>
      <c r="M140" s="24">
        <f>+M141+M143+M145+M147</f>
        <v>159500</v>
      </c>
      <c r="N140" s="45">
        <f t="shared" si="15"/>
        <v>-0.54067674586033121</v>
      </c>
    </row>
    <row r="141" spans="1:16" x14ac:dyDescent="0.3">
      <c r="A141" s="144"/>
      <c r="B141" s="47"/>
      <c r="C141" s="47"/>
      <c r="D141" s="59" t="s">
        <v>238</v>
      </c>
      <c r="E141" s="59"/>
      <c r="F141" s="60"/>
      <c r="G141" s="50">
        <f>+G142</f>
        <v>10187.5</v>
      </c>
      <c r="H141" s="50">
        <f>+H142</f>
        <v>15000</v>
      </c>
      <c r="I141" s="50">
        <f>+I142</f>
        <v>15750</v>
      </c>
      <c r="J141" s="51">
        <f t="shared" si="18"/>
        <v>5.0000000000000044E-2</v>
      </c>
      <c r="K141" s="50">
        <f>+K142</f>
        <v>15750</v>
      </c>
      <c r="L141" s="57">
        <f t="shared" si="14"/>
        <v>0</v>
      </c>
      <c r="M141" s="50">
        <f>+M142</f>
        <v>16500</v>
      </c>
      <c r="N141" s="57">
        <f t="shared" si="15"/>
        <v>4.7619047619047672E-2</v>
      </c>
    </row>
    <row r="142" spans="1:16" s="54" customFormat="1" x14ac:dyDescent="0.3">
      <c r="A142" s="89" t="s">
        <v>170</v>
      </c>
      <c r="D142" s="75"/>
      <c r="E142" s="23" t="s">
        <v>130</v>
      </c>
      <c r="F142" s="53" t="s">
        <v>145</v>
      </c>
      <c r="G142" s="76">
        <v>10187.5</v>
      </c>
      <c r="H142" s="24">
        <v>15000</v>
      </c>
      <c r="I142" s="24">
        <v>15750</v>
      </c>
      <c r="J142" s="45">
        <f t="shared" si="18"/>
        <v>5.0000000000000044E-2</v>
      </c>
      <c r="K142" s="24">
        <v>15750</v>
      </c>
      <c r="L142" s="55">
        <f t="shared" si="14"/>
        <v>0</v>
      </c>
      <c r="M142" s="24">
        <v>16500</v>
      </c>
      <c r="N142" s="45">
        <f t="shared" si="15"/>
        <v>4.7619047619047672E-2</v>
      </c>
      <c r="O142" s="56"/>
      <c r="P142" s="56"/>
    </row>
    <row r="143" spans="1:16" x14ac:dyDescent="0.3">
      <c r="A143" s="144"/>
      <c r="B143" s="47"/>
      <c r="C143" s="47"/>
      <c r="D143" s="59" t="s">
        <v>239</v>
      </c>
      <c r="E143" s="59"/>
      <c r="F143" s="60"/>
      <c r="G143" s="50">
        <f>+G144</f>
        <v>12160</v>
      </c>
      <c r="H143" s="50">
        <f>+H144</f>
        <v>100000</v>
      </c>
      <c r="I143" s="50">
        <f>+I144</f>
        <v>250000</v>
      </c>
      <c r="J143" s="51">
        <f t="shared" si="18"/>
        <v>1.5</v>
      </c>
      <c r="K143" s="50">
        <f>+K144</f>
        <v>300000</v>
      </c>
      <c r="L143" s="57">
        <f t="shared" si="14"/>
        <v>0.19999999999999996</v>
      </c>
      <c r="M143" s="50">
        <f>+M144</f>
        <v>110000</v>
      </c>
      <c r="N143" s="57">
        <f t="shared" si="15"/>
        <v>-0.6333333333333333</v>
      </c>
    </row>
    <row r="144" spans="1:16" s="54" customFormat="1" ht="28.8" x14ac:dyDescent="0.3">
      <c r="A144" s="89" t="s">
        <v>171</v>
      </c>
      <c r="D144" s="75"/>
      <c r="E144" s="23" t="s">
        <v>130</v>
      </c>
      <c r="F144" s="53" t="s">
        <v>145</v>
      </c>
      <c r="G144" s="76">
        <v>12160</v>
      </c>
      <c r="H144" s="24">
        <v>100000</v>
      </c>
      <c r="I144" s="24">
        <v>250000</v>
      </c>
      <c r="J144" s="45">
        <f t="shared" si="18"/>
        <v>1.5</v>
      </c>
      <c r="K144" s="24">
        <v>300000</v>
      </c>
      <c r="L144" s="55">
        <f t="shared" si="14"/>
        <v>0.19999999999999996</v>
      </c>
      <c r="M144" s="24">
        <v>110000</v>
      </c>
      <c r="N144" s="45">
        <f t="shared" si="15"/>
        <v>-0.6333333333333333</v>
      </c>
      <c r="O144" s="56"/>
      <c r="P144" s="56"/>
    </row>
    <row r="145" spans="1:14" x14ac:dyDescent="0.3">
      <c r="A145" s="144"/>
      <c r="B145" s="47"/>
      <c r="C145" s="47"/>
      <c r="D145" s="59" t="s">
        <v>82</v>
      </c>
      <c r="E145" s="59"/>
      <c r="F145" s="60"/>
      <c r="G145" s="50">
        <f>+SUM(G146:G146)</f>
        <v>0</v>
      </c>
      <c r="H145" s="50">
        <f>+SUM(H146:H146)</f>
        <v>20000</v>
      </c>
      <c r="I145" s="50">
        <f>+SUM(I146:I146)</f>
        <v>21000</v>
      </c>
      <c r="J145" s="51">
        <f t="shared" si="18"/>
        <v>5.0000000000000044E-2</v>
      </c>
      <c r="K145" s="50">
        <f>+SUM(K146:K146)</f>
        <v>21000</v>
      </c>
      <c r="L145" s="57">
        <f t="shared" ref="L145:L166" si="19">+K145/I145-1</f>
        <v>0</v>
      </c>
      <c r="M145" s="50">
        <f>+SUM(M146:M146)</f>
        <v>22000</v>
      </c>
      <c r="N145" s="57">
        <f t="shared" ref="N145:N166" si="20">+M145/K145-1</f>
        <v>4.7619047619047672E-2</v>
      </c>
    </row>
    <row r="146" spans="1:14" x14ac:dyDescent="0.3">
      <c r="A146" s="89" t="s">
        <v>170</v>
      </c>
      <c r="D146" s="52"/>
      <c r="E146" s="23" t="s">
        <v>130</v>
      </c>
      <c r="F146" s="53" t="s">
        <v>145</v>
      </c>
      <c r="G146" s="25">
        <v>0</v>
      </c>
      <c r="H146" s="24">
        <v>20000</v>
      </c>
      <c r="I146" s="24">
        <v>21000</v>
      </c>
      <c r="J146" s="45">
        <f t="shared" si="18"/>
        <v>5.0000000000000044E-2</v>
      </c>
      <c r="K146" s="24">
        <v>21000</v>
      </c>
      <c r="L146" s="55">
        <f t="shared" si="19"/>
        <v>0</v>
      </c>
      <c r="M146" s="24">
        <v>22000</v>
      </c>
      <c r="N146" s="45">
        <f t="shared" si="20"/>
        <v>4.7619047619047672E-2</v>
      </c>
    </row>
    <row r="147" spans="1:14" x14ac:dyDescent="0.3">
      <c r="A147" s="144"/>
      <c r="B147" s="47"/>
      <c r="C147" s="47"/>
      <c r="D147" s="59" t="s">
        <v>83</v>
      </c>
      <c r="E147" s="59"/>
      <c r="F147" s="60"/>
      <c r="G147" s="50">
        <f>+G148</f>
        <v>4500</v>
      </c>
      <c r="H147" s="50">
        <f>+H148</f>
        <v>10000</v>
      </c>
      <c r="I147" s="50">
        <f>+I148</f>
        <v>10500</v>
      </c>
      <c r="J147" s="51">
        <f t="shared" si="18"/>
        <v>5.0000000000000044E-2</v>
      </c>
      <c r="K147" s="50">
        <f>+K148</f>
        <v>10500</v>
      </c>
      <c r="L147" s="57">
        <f t="shared" si="19"/>
        <v>0</v>
      </c>
      <c r="M147" s="50">
        <f>+M148</f>
        <v>11000</v>
      </c>
      <c r="N147" s="57">
        <f t="shared" si="20"/>
        <v>4.7619047619047672E-2</v>
      </c>
    </row>
    <row r="148" spans="1:14" x14ac:dyDescent="0.3">
      <c r="A148" s="89" t="s">
        <v>170</v>
      </c>
      <c r="D148" s="52"/>
      <c r="E148" s="23" t="s">
        <v>127</v>
      </c>
      <c r="F148" s="53" t="s">
        <v>138</v>
      </c>
      <c r="G148" s="180">
        <v>4500</v>
      </c>
      <c r="H148" s="24">
        <v>10000</v>
      </c>
      <c r="I148" s="24">
        <v>10500</v>
      </c>
      <c r="J148" s="45">
        <f t="shared" si="18"/>
        <v>5.0000000000000044E-2</v>
      </c>
      <c r="K148" s="24">
        <v>10500</v>
      </c>
      <c r="L148" s="55">
        <f t="shared" si="19"/>
        <v>0</v>
      </c>
      <c r="M148" s="24">
        <v>11000</v>
      </c>
      <c r="N148" s="45">
        <f t="shared" si="20"/>
        <v>4.7619047619047672E-2</v>
      </c>
    </row>
    <row r="149" spans="1:14" x14ac:dyDescent="0.3">
      <c r="A149" s="143"/>
      <c r="B149" s="42"/>
      <c r="C149" s="73" t="s">
        <v>85</v>
      </c>
      <c r="D149" s="42"/>
      <c r="E149" s="73"/>
      <c r="F149" s="42"/>
      <c r="G149" s="24">
        <f>+G150+G154+G156+G152</f>
        <v>69742.510000000009</v>
      </c>
      <c r="H149" s="24">
        <f>+H150+H154+H156+H152</f>
        <v>140000</v>
      </c>
      <c r="I149" s="24">
        <f>+I150+I154+I156+I152</f>
        <v>140000</v>
      </c>
      <c r="J149" s="45"/>
      <c r="K149" s="24">
        <f>+K150+K154+K156+K152</f>
        <v>140000</v>
      </c>
      <c r="L149" s="55">
        <f t="shared" si="19"/>
        <v>0</v>
      </c>
      <c r="M149" s="24">
        <f>+M150+M154+M156+M152</f>
        <v>140000</v>
      </c>
      <c r="N149" s="45">
        <f t="shared" si="20"/>
        <v>0</v>
      </c>
    </row>
    <row r="150" spans="1:14" x14ac:dyDescent="0.3">
      <c r="A150" s="144"/>
      <c r="B150" s="47"/>
      <c r="C150" s="47"/>
      <c r="D150" s="59" t="s">
        <v>86</v>
      </c>
      <c r="E150" s="59"/>
      <c r="F150" s="60"/>
      <c r="G150" s="49">
        <f>+SUM(G151:G151)</f>
        <v>69742.510000000009</v>
      </c>
      <c r="H150" s="49">
        <f>+SUM(H151:H151)</f>
        <v>70000</v>
      </c>
      <c r="I150" s="49">
        <f>+SUM(I151:I151)</f>
        <v>40000</v>
      </c>
      <c r="J150" s="51">
        <f>+I150/H150-1</f>
        <v>-0.4285714285714286</v>
      </c>
      <c r="K150" s="49">
        <f>+SUM(K151:K151)</f>
        <v>40000</v>
      </c>
      <c r="L150" s="57">
        <f t="shared" si="19"/>
        <v>0</v>
      </c>
      <c r="M150" s="49">
        <f>+SUM(M151:M151)</f>
        <v>40000</v>
      </c>
      <c r="N150" s="57">
        <f t="shared" si="20"/>
        <v>0</v>
      </c>
    </row>
    <row r="151" spans="1:14" x14ac:dyDescent="0.3">
      <c r="A151" s="89" t="s">
        <v>170</v>
      </c>
      <c r="D151" s="52"/>
      <c r="E151" s="23" t="s">
        <v>127</v>
      </c>
      <c r="F151" s="53" t="s">
        <v>138</v>
      </c>
      <c r="G151" s="76">
        <v>69742.510000000009</v>
      </c>
      <c r="H151" s="24">
        <v>70000</v>
      </c>
      <c r="I151" s="24">
        <v>40000</v>
      </c>
      <c r="J151" s="45">
        <f>+I151/H151-1</f>
        <v>-0.4285714285714286</v>
      </c>
      <c r="K151" s="24">
        <v>40000</v>
      </c>
      <c r="L151" s="55">
        <f t="shared" si="19"/>
        <v>0</v>
      </c>
      <c r="M151" s="24">
        <v>40000</v>
      </c>
      <c r="N151" s="45">
        <f t="shared" si="20"/>
        <v>0</v>
      </c>
    </row>
    <row r="152" spans="1:14" x14ac:dyDescent="0.3">
      <c r="A152" s="144"/>
      <c r="B152" s="47"/>
      <c r="C152" s="47"/>
      <c r="D152" s="59" t="s">
        <v>262</v>
      </c>
      <c r="E152" s="59"/>
      <c r="F152" s="60"/>
      <c r="G152" s="49">
        <f>+G153</f>
        <v>0</v>
      </c>
      <c r="H152" s="49">
        <f>+H153</f>
        <v>20000</v>
      </c>
      <c r="I152" s="49">
        <f>+I153</f>
        <v>20000</v>
      </c>
      <c r="J152" s="51">
        <f>+I152/H152-1</f>
        <v>0</v>
      </c>
      <c r="K152" s="49">
        <f>+K153</f>
        <v>20000</v>
      </c>
      <c r="L152" s="57">
        <f t="shared" si="19"/>
        <v>0</v>
      </c>
      <c r="M152" s="49">
        <f>+M153</f>
        <v>20000</v>
      </c>
      <c r="N152" s="57">
        <f t="shared" si="20"/>
        <v>0</v>
      </c>
    </row>
    <row r="153" spans="1:14" x14ac:dyDescent="0.3">
      <c r="A153" s="89" t="s">
        <v>170</v>
      </c>
      <c r="D153" s="52"/>
      <c r="E153" s="23" t="s">
        <v>130</v>
      </c>
      <c r="F153" s="53" t="s">
        <v>145</v>
      </c>
      <c r="G153" s="25">
        <v>0</v>
      </c>
      <c r="H153" s="24">
        <v>20000</v>
      </c>
      <c r="I153" s="24">
        <v>20000</v>
      </c>
      <c r="J153" s="45"/>
      <c r="K153" s="24">
        <v>20000</v>
      </c>
      <c r="L153" s="55">
        <f t="shared" si="19"/>
        <v>0</v>
      </c>
      <c r="M153" s="24">
        <v>20000</v>
      </c>
      <c r="N153" s="45">
        <f t="shared" si="20"/>
        <v>0</v>
      </c>
    </row>
    <row r="154" spans="1:14" x14ac:dyDescent="0.3">
      <c r="A154" s="144"/>
      <c r="B154" s="47"/>
      <c r="C154" s="47"/>
      <c r="D154" s="59" t="s">
        <v>87</v>
      </c>
      <c r="E154" s="59"/>
      <c r="F154" s="60"/>
      <c r="G154" s="49">
        <f>+G155</f>
        <v>0</v>
      </c>
      <c r="H154" s="49">
        <f>+H155</f>
        <v>20000</v>
      </c>
      <c r="I154" s="49">
        <f>+I155</f>
        <v>40000</v>
      </c>
      <c r="J154" s="51">
        <f t="shared" ref="J154:J166" si="21">+I154/H154-1</f>
        <v>1</v>
      </c>
      <c r="K154" s="49">
        <f>+K155</f>
        <v>40000</v>
      </c>
      <c r="L154" s="57">
        <f t="shared" si="19"/>
        <v>0</v>
      </c>
      <c r="M154" s="49">
        <f>+M155</f>
        <v>40000</v>
      </c>
      <c r="N154" s="57">
        <f t="shared" si="20"/>
        <v>0</v>
      </c>
    </row>
    <row r="155" spans="1:14" x14ac:dyDescent="0.3">
      <c r="A155" s="89" t="s">
        <v>170</v>
      </c>
      <c r="D155" s="52"/>
      <c r="E155" s="23" t="s">
        <v>130</v>
      </c>
      <c r="F155" s="53" t="s">
        <v>145</v>
      </c>
      <c r="G155" s="25">
        <v>0</v>
      </c>
      <c r="H155" s="24">
        <v>20000</v>
      </c>
      <c r="I155" s="24">
        <v>40000</v>
      </c>
      <c r="J155" s="45">
        <f t="shared" si="21"/>
        <v>1</v>
      </c>
      <c r="K155" s="24">
        <v>40000</v>
      </c>
      <c r="L155" s="55">
        <f t="shared" si="19"/>
        <v>0</v>
      </c>
      <c r="M155" s="24">
        <v>40000</v>
      </c>
      <c r="N155" s="45">
        <f t="shared" si="20"/>
        <v>0</v>
      </c>
    </row>
    <row r="156" spans="1:14" ht="17.25" customHeight="1" x14ac:dyDescent="0.3">
      <c r="A156" s="144"/>
      <c r="B156" s="47"/>
      <c r="C156" s="47"/>
      <c r="D156" s="59" t="s">
        <v>88</v>
      </c>
      <c r="E156" s="59"/>
      <c r="F156" s="60"/>
      <c r="G156" s="49">
        <f>+G157</f>
        <v>0</v>
      </c>
      <c r="H156" s="49">
        <f>+H157</f>
        <v>30000</v>
      </c>
      <c r="I156" s="49">
        <f>+I157</f>
        <v>40000</v>
      </c>
      <c r="J156" s="51">
        <f t="shared" si="21"/>
        <v>0.33333333333333326</v>
      </c>
      <c r="K156" s="49">
        <f>+K157</f>
        <v>40000</v>
      </c>
      <c r="L156" s="57">
        <f t="shared" si="19"/>
        <v>0</v>
      </c>
      <c r="M156" s="49">
        <f>+M157</f>
        <v>40000</v>
      </c>
      <c r="N156" s="57">
        <f t="shared" si="20"/>
        <v>0</v>
      </c>
    </row>
    <row r="157" spans="1:14" x14ac:dyDescent="0.3">
      <c r="A157" s="89" t="s">
        <v>170</v>
      </c>
      <c r="B157" s="63"/>
      <c r="C157" s="63"/>
      <c r="D157" s="65"/>
      <c r="E157" s="23" t="s">
        <v>130</v>
      </c>
      <c r="F157" s="53" t="s">
        <v>145</v>
      </c>
      <c r="G157" s="25">
        <v>0</v>
      </c>
      <c r="H157" s="24">
        <v>30000</v>
      </c>
      <c r="I157" s="24">
        <v>40000</v>
      </c>
      <c r="J157" s="45">
        <f t="shared" si="21"/>
        <v>0.33333333333333326</v>
      </c>
      <c r="K157" s="24">
        <v>40000</v>
      </c>
      <c r="L157" s="55">
        <f t="shared" si="19"/>
        <v>0</v>
      </c>
      <c r="M157" s="24">
        <v>40000</v>
      </c>
      <c r="N157" s="45">
        <f t="shared" si="20"/>
        <v>0</v>
      </c>
    </row>
    <row r="158" spans="1:14" x14ac:dyDescent="0.3">
      <c r="A158" s="143"/>
      <c r="B158" s="42"/>
      <c r="C158" s="73" t="s">
        <v>90</v>
      </c>
      <c r="D158" s="42"/>
      <c r="E158" s="73"/>
      <c r="F158" s="42"/>
      <c r="G158" s="24">
        <f>+G159+G161+G165+G167+G169+G171+G173+G175+G177+G179+G163</f>
        <v>48944.74</v>
      </c>
      <c r="H158" s="24">
        <f>+H159+H161+H165+H167+H169+H171+H173+H175+H177+H179+H163</f>
        <v>131400</v>
      </c>
      <c r="I158" s="24">
        <f>+I159+I161+I165+I167+I169+I171+I173+I175+I177+I179+I163</f>
        <v>162770</v>
      </c>
      <c r="J158" s="45">
        <f t="shared" si="21"/>
        <v>0.23873668188736685</v>
      </c>
      <c r="K158" s="24">
        <f>+K159+K161+K165+K167+K169+K171+K173+K175+K177+K179+K163</f>
        <v>167150</v>
      </c>
      <c r="L158" s="55">
        <f t="shared" si="19"/>
        <v>2.6909135590096556E-2</v>
      </c>
      <c r="M158" s="24">
        <f>+M159+M161+M165+M167+M169+M171+M173+M175+M177+M179+M163</f>
        <v>174265</v>
      </c>
      <c r="N158" s="45">
        <f t="shared" si="20"/>
        <v>4.2566556984744208E-2</v>
      </c>
    </row>
    <row r="159" spans="1:14" x14ac:dyDescent="0.3">
      <c r="A159" s="144"/>
      <c r="B159" s="47"/>
      <c r="C159" s="47"/>
      <c r="D159" s="59" t="s">
        <v>91</v>
      </c>
      <c r="E159" s="59"/>
      <c r="F159" s="60"/>
      <c r="G159" s="50">
        <f>+G160</f>
        <v>0</v>
      </c>
      <c r="H159" s="50">
        <f>+H160</f>
        <v>4000</v>
      </c>
      <c r="I159" s="50">
        <f>+I160</f>
        <v>4200</v>
      </c>
      <c r="J159" s="51">
        <f t="shared" si="21"/>
        <v>5.0000000000000044E-2</v>
      </c>
      <c r="K159" s="50">
        <f>+K160</f>
        <v>4300</v>
      </c>
      <c r="L159" s="57">
        <f t="shared" si="19"/>
        <v>2.3809523809523725E-2</v>
      </c>
      <c r="M159" s="50">
        <f>+M160</f>
        <v>4400</v>
      </c>
      <c r="N159" s="57">
        <f t="shared" si="20"/>
        <v>2.3255813953488413E-2</v>
      </c>
    </row>
    <row r="160" spans="1:14" x14ac:dyDescent="0.3">
      <c r="A160" s="89" t="s">
        <v>170</v>
      </c>
      <c r="D160" s="52"/>
      <c r="E160" s="23" t="s">
        <v>127</v>
      </c>
      <c r="F160" s="53" t="s">
        <v>138</v>
      </c>
      <c r="G160" s="25">
        <v>0</v>
      </c>
      <c r="H160" s="24">
        <v>4000</v>
      </c>
      <c r="I160" s="24">
        <v>4200</v>
      </c>
      <c r="J160" s="45">
        <f t="shared" si="21"/>
        <v>5.0000000000000044E-2</v>
      </c>
      <c r="K160" s="24">
        <v>4300</v>
      </c>
      <c r="L160" s="55">
        <f t="shared" si="19"/>
        <v>2.3809523809523725E-2</v>
      </c>
      <c r="M160" s="24">
        <v>4400</v>
      </c>
      <c r="N160" s="45">
        <f t="shared" si="20"/>
        <v>2.3255813953488413E-2</v>
      </c>
    </row>
    <row r="161" spans="1:16" x14ac:dyDescent="0.3">
      <c r="A161" s="144"/>
      <c r="B161" s="47"/>
      <c r="C161" s="47"/>
      <c r="D161" s="59" t="s">
        <v>92</v>
      </c>
      <c r="E161" s="59"/>
      <c r="F161" s="60"/>
      <c r="G161" s="50">
        <f>+G162</f>
        <v>4025</v>
      </c>
      <c r="H161" s="50">
        <f>+H162</f>
        <v>10000</v>
      </c>
      <c r="I161" s="50">
        <f>+I162</f>
        <v>10500</v>
      </c>
      <c r="J161" s="51">
        <f t="shared" si="21"/>
        <v>5.0000000000000044E-2</v>
      </c>
      <c r="K161" s="50">
        <f>+K162</f>
        <v>11000</v>
      </c>
      <c r="L161" s="57">
        <f t="shared" si="19"/>
        <v>4.7619047619047672E-2</v>
      </c>
      <c r="M161" s="50">
        <f>+M162</f>
        <v>11000</v>
      </c>
      <c r="N161" s="57">
        <f t="shared" si="20"/>
        <v>0</v>
      </c>
    </row>
    <row r="162" spans="1:16" x14ac:dyDescent="0.3">
      <c r="A162" s="89" t="s">
        <v>170</v>
      </c>
      <c r="D162" s="52"/>
      <c r="E162" s="23" t="s">
        <v>127</v>
      </c>
      <c r="F162" s="53" t="s">
        <v>138</v>
      </c>
      <c r="G162" s="76">
        <v>4025</v>
      </c>
      <c r="H162" s="24">
        <v>10000</v>
      </c>
      <c r="I162" s="24">
        <v>10500</v>
      </c>
      <c r="J162" s="45">
        <f t="shared" si="21"/>
        <v>5.0000000000000044E-2</v>
      </c>
      <c r="K162" s="24">
        <v>11000</v>
      </c>
      <c r="L162" s="55">
        <f t="shared" si="19"/>
        <v>4.7619047619047672E-2</v>
      </c>
      <c r="M162" s="24">
        <v>11000</v>
      </c>
      <c r="N162" s="45">
        <f t="shared" si="20"/>
        <v>0</v>
      </c>
    </row>
    <row r="163" spans="1:16" x14ac:dyDescent="0.3">
      <c r="A163" s="145"/>
      <c r="B163" s="47"/>
      <c r="C163" s="47"/>
      <c r="D163" s="59" t="s">
        <v>266</v>
      </c>
      <c r="E163" s="59"/>
      <c r="F163" s="60"/>
      <c r="G163" s="50">
        <f>+G164</f>
        <v>0</v>
      </c>
      <c r="H163" s="50">
        <f>+H164</f>
        <v>24000</v>
      </c>
      <c r="I163" s="50">
        <f>+I164</f>
        <v>50000</v>
      </c>
      <c r="J163" s="51">
        <f t="shared" si="21"/>
        <v>1.0833333333333335</v>
      </c>
      <c r="K163" s="50">
        <f>+K164</f>
        <v>52500</v>
      </c>
      <c r="L163" s="57">
        <f t="shared" si="19"/>
        <v>5.0000000000000044E-2</v>
      </c>
      <c r="M163" s="50">
        <f>+M164</f>
        <v>55125</v>
      </c>
      <c r="N163" s="57">
        <f t="shared" si="20"/>
        <v>5.0000000000000044E-2</v>
      </c>
    </row>
    <row r="164" spans="1:16" x14ac:dyDescent="0.3">
      <c r="A164" s="89" t="s">
        <v>170</v>
      </c>
      <c r="D164" s="52"/>
      <c r="E164" s="23" t="s">
        <v>127</v>
      </c>
      <c r="F164" s="53" t="s">
        <v>138</v>
      </c>
      <c r="G164" s="25">
        <v>0</v>
      </c>
      <c r="H164" s="24">
        <v>24000</v>
      </c>
      <c r="I164" s="24">
        <v>50000</v>
      </c>
      <c r="J164" s="45">
        <f t="shared" si="21"/>
        <v>1.0833333333333335</v>
      </c>
      <c r="K164" s="24">
        <v>52500</v>
      </c>
      <c r="L164" s="55">
        <f t="shared" si="19"/>
        <v>5.0000000000000044E-2</v>
      </c>
      <c r="M164" s="24">
        <v>55125</v>
      </c>
      <c r="N164" s="55">
        <f t="shared" si="20"/>
        <v>5.0000000000000044E-2</v>
      </c>
    </row>
    <row r="165" spans="1:16" s="64" customFormat="1" x14ac:dyDescent="0.3">
      <c r="A165" s="145"/>
      <c r="B165" s="47"/>
      <c r="C165" s="47"/>
      <c r="D165" s="59" t="s">
        <v>93</v>
      </c>
      <c r="E165" s="59"/>
      <c r="F165" s="60"/>
      <c r="G165" s="50">
        <f>+G166</f>
        <v>0</v>
      </c>
      <c r="H165" s="50">
        <f>+H166</f>
        <v>1400</v>
      </c>
      <c r="I165" s="50">
        <f>+I166</f>
        <v>1470</v>
      </c>
      <c r="J165" s="51">
        <f t="shared" si="21"/>
        <v>5.0000000000000044E-2</v>
      </c>
      <c r="K165" s="50">
        <f>+K166</f>
        <v>1500</v>
      </c>
      <c r="L165" s="57">
        <f t="shared" si="19"/>
        <v>2.0408163265306145E-2</v>
      </c>
      <c r="M165" s="50">
        <f>+M166</f>
        <v>1540</v>
      </c>
      <c r="N165" s="57">
        <f t="shared" si="20"/>
        <v>2.6666666666666616E-2</v>
      </c>
      <c r="O165" s="67"/>
      <c r="P165" s="67"/>
    </row>
    <row r="166" spans="1:16" x14ac:dyDescent="0.3">
      <c r="A166" s="89" t="s">
        <v>170</v>
      </c>
      <c r="D166" s="52"/>
      <c r="E166" s="23" t="s">
        <v>134</v>
      </c>
      <c r="F166" s="66" t="s">
        <v>144</v>
      </c>
      <c r="G166" s="25">
        <v>0</v>
      </c>
      <c r="H166" s="24">
        <v>1400</v>
      </c>
      <c r="I166" s="24">
        <v>1470</v>
      </c>
      <c r="J166" s="45">
        <f t="shared" si="21"/>
        <v>5.0000000000000044E-2</v>
      </c>
      <c r="K166" s="24">
        <v>1500</v>
      </c>
      <c r="L166" s="55">
        <f t="shared" si="19"/>
        <v>2.0408163265306145E-2</v>
      </c>
      <c r="M166" s="24">
        <v>1540</v>
      </c>
      <c r="N166" s="45">
        <f t="shared" si="20"/>
        <v>2.6666666666666616E-2</v>
      </c>
    </row>
    <row r="167" spans="1:16" s="22" customFormat="1" x14ac:dyDescent="0.3">
      <c r="A167" s="145"/>
      <c r="B167" s="47"/>
      <c r="C167" s="47"/>
      <c r="D167" s="59" t="s">
        <v>94</v>
      </c>
      <c r="E167" s="59"/>
      <c r="F167" s="60"/>
      <c r="G167" s="50">
        <f>+G168</f>
        <v>2245.1799999999985</v>
      </c>
      <c r="H167" s="50">
        <f>+H168</f>
        <v>0</v>
      </c>
      <c r="I167" s="50">
        <f>+I168</f>
        <v>0</v>
      </c>
      <c r="J167" s="51"/>
      <c r="K167" s="50">
        <f>+K168</f>
        <v>0</v>
      </c>
      <c r="L167" s="57"/>
      <c r="M167" s="50">
        <f>+M168</f>
        <v>0</v>
      </c>
      <c r="N167" s="57"/>
    </row>
    <row r="168" spans="1:16" s="22" customFormat="1" x14ac:dyDescent="0.3">
      <c r="A168" s="91" t="s">
        <v>174</v>
      </c>
      <c r="B168" s="63"/>
      <c r="C168" s="63"/>
      <c r="D168" s="65"/>
      <c r="E168" s="23" t="s">
        <v>132</v>
      </c>
      <c r="F168" s="53" t="s">
        <v>143</v>
      </c>
      <c r="G168" s="76">
        <v>2245.1799999999985</v>
      </c>
      <c r="H168" s="24">
        <v>0</v>
      </c>
      <c r="I168" s="24">
        <v>0</v>
      </c>
      <c r="J168" s="45"/>
      <c r="K168" s="24">
        <f>+I168*1.05</f>
        <v>0</v>
      </c>
      <c r="L168" s="55"/>
      <c r="M168" s="24">
        <v>0</v>
      </c>
      <c r="N168" s="45"/>
    </row>
    <row r="169" spans="1:16" s="22" customFormat="1" x14ac:dyDescent="0.3">
      <c r="A169" s="145"/>
      <c r="B169" s="47"/>
      <c r="C169" s="47"/>
      <c r="D169" s="59" t="s">
        <v>95</v>
      </c>
      <c r="E169" s="59"/>
      <c r="F169" s="60"/>
      <c r="G169" s="50">
        <f>+G170</f>
        <v>7000</v>
      </c>
      <c r="H169" s="50">
        <f>+H170</f>
        <v>15000</v>
      </c>
      <c r="I169" s="50">
        <f>+I170</f>
        <v>15750</v>
      </c>
      <c r="J169" s="51">
        <f t="shared" ref="J169:J202" si="22">+I169/H169-1</f>
        <v>5.0000000000000044E-2</v>
      </c>
      <c r="K169" s="50">
        <f>+K170</f>
        <v>16000</v>
      </c>
      <c r="L169" s="57">
        <f t="shared" ref="L169:L181" si="23">+K169/I169-1</f>
        <v>1.5873015873015817E-2</v>
      </c>
      <c r="M169" s="50">
        <f>+M170</f>
        <v>16500</v>
      </c>
      <c r="N169" s="57">
        <f t="shared" ref="N169:N181" si="24">+M169/K169-1</f>
        <v>3.125E-2</v>
      </c>
    </row>
    <row r="170" spans="1:16" s="22" customFormat="1" x14ac:dyDescent="0.3">
      <c r="A170" s="89" t="s">
        <v>170</v>
      </c>
      <c r="B170" s="23"/>
      <c r="C170" s="23"/>
      <c r="D170" s="52"/>
      <c r="E170" s="23" t="s">
        <v>127</v>
      </c>
      <c r="F170" s="53" t="s">
        <v>138</v>
      </c>
      <c r="G170" s="180">
        <v>7000</v>
      </c>
      <c r="H170" s="24">
        <v>15000</v>
      </c>
      <c r="I170" s="24">
        <v>15750</v>
      </c>
      <c r="J170" s="45">
        <f t="shared" si="22"/>
        <v>5.0000000000000044E-2</v>
      </c>
      <c r="K170" s="24">
        <v>16000</v>
      </c>
      <c r="L170" s="55">
        <f t="shared" si="23"/>
        <v>1.5873015873015817E-2</v>
      </c>
      <c r="M170" s="24">
        <v>16500</v>
      </c>
      <c r="N170" s="45">
        <f t="shared" si="24"/>
        <v>3.125E-2</v>
      </c>
    </row>
    <row r="171" spans="1:16" s="22" customFormat="1" x14ac:dyDescent="0.3">
      <c r="A171" s="144"/>
      <c r="B171" s="47"/>
      <c r="C171" s="47"/>
      <c r="D171" s="59" t="s">
        <v>96</v>
      </c>
      <c r="E171" s="59"/>
      <c r="F171" s="60"/>
      <c r="G171" s="50">
        <f>+G172</f>
        <v>10845.7</v>
      </c>
      <c r="H171" s="50">
        <f>+H172</f>
        <v>20000</v>
      </c>
      <c r="I171" s="50">
        <f>+I172</f>
        <v>21000</v>
      </c>
      <c r="J171" s="51">
        <f t="shared" si="22"/>
        <v>5.0000000000000044E-2</v>
      </c>
      <c r="K171" s="50">
        <f>+K172</f>
        <v>22000</v>
      </c>
      <c r="L171" s="57">
        <f t="shared" si="23"/>
        <v>4.7619047619047672E-2</v>
      </c>
      <c r="M171" s="50">
        <f>+M172</f>
        <v>23000</v>
      </c>
      <c r="N171" s="57">
        <f t="shared" si="24"/>
        <v>4.5454545454545414E-2</v>
      </c>
    </row>
    <row r="172" spans="1:16" s="22" customFormat="1" x14ac:dyDescent="0.3">
      <c r="A172" s="89" t="s">
        <v>170</v>
      </c>
      <c r="B172" s="23"/>
      <c r="C172" s="23"/>
      <c r="D172" s="52"/>
      <c r="E172" s="23" t="s">
        <v>135</v>
      </c>
      <c r="F172" s="53" t="s">
        <v>141</v>
      </c>
      <c r="G172" s="76">
        <v>10845.7</v>
      </c>
      <c r="H172" s="24">
        <v>20000</v>
      </c>
      <c r="I172" s="24">
        <v>21000</v>
      </c>
      <c r="J172" s="45">
        <f t="shared" si="22"/>
        <v>5.0000000000000044E-2</v>
      </c>
      <c r="K172" s="24">
        <v>22000</v>
      </c>
      <c r="L172" s="55">
        <f t="shared" si="23"/>
        <v>4.7619047619047672E-2</v>
      </c>
      <c r="M172" s="24">
        <v>23000</v>
      </c>
      <c r="N172" s="45">
        <f t="shared" si="24"/>
        <v>4.5454545454545414E-2</v>
      </c>
    </row>
    <row r="173" spans="1:16" s="22" customFormat="1" x14ac:dyDescent="0.3">
      <c r="A173" s="144"/>
      <c r="B173" s="47"/>
      <c r="C173" s="47"/>
      <c r="D173" s="59" t="s">
        <v>97</v>
      </c>
      <c r="E173" s="59"/>
      <c r="F173" s="60"/>
      <c r="G173" s="50">
        <f>+G174</f>
        <v>18500</v>
      </c>
      <c r="H173" s="50">
        <f>+H174</f>
        <v>20000</v>
      </c>
      <c r="I173" s="50">
        <f>+I174</f>
        <v>21000</v>
      </c>
      <c r="J173" s="51">
        <f t="shared" si="22"/>
        <v>5.0000000000000044E-2</v>
      </c>
      <c r="K173" s="50">
        <f>+K174</f>
        <v>21000</v>
      </c>
      <c r="L173" s="57">
        <f t="shared" si="23"/>
        <v>0</v>
      </c>
      <c r="M173" s="50">
        <f>+M174</f>
        <v>22000</v>
      </c>
      <c r="N173" s="57">
        <f t="shared" si="24"/>
        <v>4.7619047619047672E-2</v>
      </c>
    </row>
    <row r="174" spans="1:16" s="22" customFormat="1" x14ac:dyDescent="0.3">
      <c r="A174" s="89" t="s">
        <v>170</v>
      </c>
      <c r="B174" s="23"/>
      <c r="C174" s="23"/>
      <c r="D174" s="52"/>
      <c r="E174" s="23" t="s">
        <v>135</v>
      </c>
      <c r="F174" s="53" t="s">
        <v>141</v>
      </c>
      <c r="G174" s="180">
        <v>18500</v>
      </c>
      <c r="H174" s="24">
        <v>20000</v>
      </c>
      <c r="I174" s="24">
        <v>21000</v>
      </c>
      <c r="J174" s="45">
        <f t="shared" si="22"/>
        <v>5.0000000000000044E-2</v>
      </c>
      <c r="K174" s="24">
        <v>21000</v>
      </c>
      <c r="L174" s="55">
        <f t="shared" si="23"/>
        <v>0</v>
      </c>
      <c r="M174" s="24">
        <v>22000</v>
      </c>
      <c r="N174" s="45">
        <f t="shared" si="24"/>
        <v>4.7619047619047672E-2</v>
      </c>
    </row>
    <row r="175" spans="1:16" s="22" customFormat="1" x14ac:dyDescent="0.3">
      <c r="A175" s="144"/>
      <c r="B175" s="47"/>
      <c r="C175" s="47"/>
      <c r="D175" s="59" t="s">
        <v>98</v>
      </c>
      <c r="E175" s="59"/>
      <c r="F175" s="60"/>
      <c r="G175" s="50">
        <f>+G176</f>
        <v>0</v>
      </c>
      <c r="H175" s="50">
        <f>+H176</f>
        <v>2000</v>
      </c>
      <c r="I175" s="50">
        <f>+I176</f>
        <v>2100</v>
      </c>
      <c r="J175" s="51">
        <f t="shared" si="22"/>
        <v>5.0000000000000044E-2</v>
      </c>
      <c r="K175" s="50">
        <f>+K176</f>
        <v>2100</v>
      </c>
      <c r="L175" s="57">
        <f t="shared" si="23"/>
        <v>0</v>
      </c>
      <c r="M175" s="50">
        <f>+M176</f>
        <v>2200</v>
      </c>
      <c r="N175" s="57">
        <f t="shared" si="24"/>
        <v>4.7619047619047672E-2</v>
      </c>
    </row>
    <row r="176" spans="1:16" s="22" customFormat="1" x14ac:dyDescent="0.3">
      <c r="A176" s="89" t="s">
        <v>170</v>
      </c>
      <c r="B176" s="23"/>
      <c r="C176" s="23"/>
      <c r="D176" s="65"/>
      <c r="E176" s="23" t="s">
        <v>130</v>
      </c>
      <c r="F176" s="53" t="s">
        <v>145</v>
      </c>
      <c r="G176" s="25">
        <v>0</v>
      </c>
      <c r="H176" s="24">
        <v>2000</v>
      </c>
      <c r="I176" s="24">
        <v>2100</v>
      </c>
      <c r="J176" s="45">
        <f t="shared" si="22"/>
        <v>5.0000000000000044E-2</v>
      </c>
      <c r="K176" s="24">
        <v>2100</v>
      </c>
      <c r="L176" s="55">
        <f t="shared" si="23"/>
        <v>0</v>
      </c>
      <c r="M176" s="24">
        <v>2200</v>
      </c>
      <c r="N176" s="45">
        <f t="shared" si="24"/>
        <v>4.7619047619047672E-2</v>
      </c>
    </row>
    <row r="177" spans="1:14" s="22" customFormat="1" x14ac:dyDescent="0.3">
      <c r="A177" s="144"/>
      <c r="B177" s="47"/>
      <c r="C177" s="47"/>
      <c r="D177" s="59" t="s">
        <v>233</v>
      </c>
      <c r="E177" s="59"/>
      <c r="F177" s="60"/>
      <c r="G177" s="50">
        <f>+G178</f>
        <v>6328.86</v>
      </c>
      <c r="H177" s="50">
        <f>+H178</f>
        <v>15000</v>
      </c>
      <c r="I177" s="50">
        <f>+I178</f>
        <v>15750</v>
      </c>
      <c r="J177" s="51">
        <f t="shared" si="22"/>
        <v>5.0000000000000044E-2</v>
      </c>
      <c r="K177" s="50">
        <f>+K178</f>
        <v>15750</v>
      </c>
      <c r="L177" s="57">
        <f t="shared" si="23"/>
        <v>0</v>
      </c>
      <c r="M177" s="50">
        <f>+M178</f>
        <v>16500</v>
      </c>
      <c r="N177" s="57">
        <f t="shared" si="24"/>
        <v>4.7619047619047672E-2</v>
      </c>
    </row>
    <row r="178" spans="1:14" s="22" customFormat="1" x14ac:dyDescent="0.3">
      <c r="A178" s="89" t="s">
        <v>170</v>
      </c>
      <c r="B178" s="23"/>
      <c r="C178" s="23"/>
      <c r="D178" s="52"/>
      <c r="E178" s="23" t="s">
        <v>130</v>
      </c>
      <c r="F178" s="53" t="s">
        <v>145</v>
      </c>
      <c r="G178" s="76">
        <v>6328.86</v>
      </c>
      <c r="H178" s="24">
        <v>15000</v>
      </c>
      <c r="I178" s="24">
        <v>15750</v>
      </c>
      <c r="J178" s="45">
        <f t="shared" si="22"/>
        <v>5.0000000000000044E-2</v>
      </c>
      <c r="K178" s="24">
        <v>15750</v>
      </c>
      <c r="L178" s="55">
        <f t="shared" si="23"/>
        <v>0</v>
      </c>
      <c r="M178" s="24">
        <v>16500</v>
      </c>
      <c r="N178" s="45">
        <f t="shared" si="24"/>
        <v>4.7619047619047672E-2</v>
      </c>
    </row>
    <row r="179" spans="1:14" s="22" customFormat="1" x14ac:dyDescent="0.3">
      <c r="A179" s="144"/>
      <c r="B179" s="47"/>
      <c r="C179" s="47"/>
      <c r="D179" s="59" t="s">
        <v>240</v>
      </c>
      <c r="E179" s="59"/>
      <c r="F179" s="60"/>
      <c r="G179" s="50">
        <f>+SUM(G180:G181)</f>
        <v>0</v>
      </c>
      <c r="H179" s="50">
        <f>+SUM(H180:H181)</f>
        <v>20000</v>
      </c>
      <c r="I179" s="50">
        <f>+SUM(I180:I181)</f>
        <v>21000</v>
      </c>
      <c r="J179" s="51">
        <f t="shared" si="22"/>
        <v>5.0000000000000044E-2</v>
      </c>
      <c r="K179" s="50">
        <f>+SUM(K180:K181)</f>
        <v>21000</v>
      </c>
      <c r="L179" s="57">
        <f t="shared" si="23"/>
        <v>0</v>
      </c>
      <c r="M179" s="50">
        <f>+SUM(M180:M181)</f>
        <v>22000</v>
      </c>
      <c r="N179" s="57">
        <f t="shared" si="24"/>
        <v>4.7619047619047672E-2</v>
      </c>
    </row>
    <row r="180" spans="1:14" s="22" customFormat="1" x14ac:dyDescent="0.3">
      <c r="A180" s="89" t="s">
        <v>170</v>
      </c>
      <c r="B180" s="23"/>
      <c r="C180" s="23"/>
      <c r="D180" s="52"/>
      <c r="E180" s="23" t="s">
        <v>134</v>
      </c>
      <c r="F180" s="66" t="s">
        <v>144</v>
      </c>
      <c r="G180" s="25">
        <v>0</v>
      </c>
      <c r="H180" s="24">
        <v>18000</v>
      </c>
      <c r="I180" s="24">
        <v>18900</v>
      </c>
      <c r="J180" s="45">
        <f t="shared" si="22"/>
        <v>5.0000000000000044E-2</v>
      </c>
      <c r="K180" s="24">
        <v>18900</v>
      </c>
      <c r="L180" s="55">
        <f t="shared" si="23"/>
        <v>0</v>
      </c>
      <c r="M180" s="24">
        <v>19800</v>
      </c>
      <c r="N180" s="45">
        <f t="shared" si="24"/>
        <v>4.7619047619047672E-2</v>
      </c>
    </row>
    <row r="181" spans="1:14" s="22" customFormat="1" x14ac:dyDescent="0.3">
      <c r="A181" s="89" t="s">
        <v>170</v>
      </c>
      <c r="B181" s="23"/>
      <c r="C181" s="23"/>
      <c r="D181" s="52"/>
      <c r="E181" s="23" t="s">
        <v>127</v>
      </c>
      <c r="F181" s="53" t="s">
        <v>138</v>
      </c>
      <c r="G181" s="25">
        <v>0</v>
      </c>
      <c r="H181" s="24">
        <v>2000</v>
      </c>
      <c r="I181" s="24">
        <v>2100</v>
      </c>
      <c r="J181" s="45">
        <f t="shared" si="22"/>
        <v>5.0000000000000044E-2</v>
      </c>
      <c r="K181" s="24">
        <v>2100</v>
      </c>
      <c r="L181" s="55">
        <f t="shared" si="23"/>
        <v>0</v>
      </c>
      <c r="M181" s="24">
        <v>2200</v>
      </c>
      <c r="N181" s="45">
        <f t="shared" si="24"/>
        <v>4.7619047619047672E-2</v>
      </c>
    </row>
    <row r="182" spans="1:14" s="22" customFormat="1" x14ac:dyDescent="0.3">
      <c r="A182" s="143"/>
      <c r="B182" s="42"/>
      <c r="C182" s="42" t="s">
        <v>100</v>
      </c>
      <c r="D182" s="42"/>
      <c r="E182" s="42"/>
      <c r="F182" s="42"/>
      <c r="G182" s="24">
        <f>+G183+G185+G187+G189+G191+G193</f>
        <v>19029.03</v>
      </c>
      <c r="H182" s="24">
        <f>+H183+H185+H187+H189+H191+H193</f>
        <v>103400</v>
      </c>
      <c r="I182" s="24">
        <f>+I183+I185+I187+I189+I191+I193</f>
        <v>144600</v>
      </c>
      <c r="J182" s="45">
        <f t="shared" si="22"/>
        <v>0.39845261121856868</v>
      </c>
      <c r="K182" s="24">
        <f>+K183+K185+K187+K189+K191+K193</f>
        <v>145100</v>
      </c>
      <c r="L182" s="55">
        <f>+K182/I182-1</f>
        <v>3.4578146611341509E-3</v>
      </c>
      <c r="M182" s="24">
        <f>+M183+M185+M187+M189+M191+M193</f>
        <v>112200</v>
      </c>
      <c r="N182" s="45">
        <f>+M182/K182-1</f>
        <v>-0.2267401791867677</v>
      </c>
    </row>
    <row r="183" spans="1:14" s="22" customFormat="1" x14ac:dyDescent="0.3">
      <c r="A183" s="144"/>
      <c r="B183" s="47"/>
      <c r="C183" s="47"/>
      <c r="D183" s="47" t="s">
        <v>241</v>
      </c>
      <c r="E183" s="47"/>
      <c r="F183" s="46"/>
      <c r="G183" s="50">
        <f>+G184</f>
        <v>2801.82</v>
      </c>
      <c r="H183" s="50">
        <f>+H184</f>
        <v>30000</v>
      </c>
      <c r="I183" s="50">
        <f>+I184</f>
        <v>31500</v>
      </c>
      <c r="J183" s="51">
        <f t="shared" si="22"/>
        <v>5.0000000000000044E-2</v>
      </c>
      <c r="K183" s="50">
        <f>+K184</f>
        <v>31500</v>
      </c>
      <c r="L183" s="57">
        <f>+K183/I183-1</f>
        <v>0</v>
      </c>
      <c r="M183" s="50">
        <f>+M184</f>
        <v>33000</v>
      </c>
      <c r="N183" s="57">
        <f>+M183/K183-1</f>
        <v>4.7619047619047672E-2</v>
      </c>
    </row>
    <row r="184" spans="1:14" s="22" customFormat="1" x14ac:dyDescent="0.3">
      <c r="A184" s="91" t="s">
        <v>174</v>
      </c>
      <c r="B184" s="23"/>
      <c r="C184" s="23"/>
      <c r="D184" s="52"/>
      <c r="E184" s="23" t="s">
        <v>132</v>
      </c>
      <c r="F184" s="53" t="s">
        <v>143</v>
      </c>
      <c r="G184" s="76">
        <v>2801.82</v>
      </c>
      <c r="H184" s="24">
        <v>30000</v>
      </c>
      <c r="I184" s="24">
        <v>31500</v>
      </c>
      <c r="J184" s="45">
        <f t="shared" si="22"/>
        <v>5.0000000000000044E-2</v>
      </c>
      <c r="K184" s="24">
        <v>31500</v>
      </c>
      <c r="L184" s="55">
        <f>+K184/I184-1</f>
        <v>0</v>
      </c>
      <c r="M184" s="24">
        <v>33000</v>
      </c>
      <c r="N184" s="45">
        <f>+M184/K184-1</f>
        <v>4.7619047619047672E-2</v>
      </c>
    </row>
    <row r="185" spans="1:14" s="22" customFormat="1" x14ac:dyDescent="0.3">
      <c r="A185" s="144"/>
      <c r="B185" s="47"/>
      <c r="C185" s="47"/>
      <c r="D185" s="47" t="s">
        <v>102</v>
      </c>
      <c r="E185" s="47"/>
      <c r="F185" s="46"/>
      <c r="G185" s="50">
        <f>+G186</f>
        <v>0</v>
      </c>
      <c r="H185" s="50">
        <f>+H186</f>
        <v>1400</v>
      </c>
      <c r="I185" s="50">
        <f>+I186</f>
        <v>0</v>
      </c>
      <c r="J185" s="51">
        <f t="shared" si="22"/>
        <v>-1</v>
      </c>
      <c r="K185" s="50">
        <f>+K186</f>
        <v>0</v>
      </c>
      <c r="L185" s="57"/>
      <c r="M185" s="50">
        <f>+M186</f>
        <v>0</v>
      </c>
      <c r="N185" s="57"/>
    </row>
    <row r="186" spans="1:14" s="22" customFormat="1" x14ac:dyDescent="0.3">
      <c r="A186" s="91" t="s">
        <v>174</v>
      </c>
      <c r="B186" s="23"/>
      <c r="C186" s="23"/>
      <c r="D186" s="52"/>
      <c r="E186" s="23" t="s">
        <v>132</v>
      </c>
      <c r="F186" s="53" t="s">
        <v>143</v>
      </c>
      <c r="G186" s="25">
        <v>0</v>
      </c>
      <c r="H186" s="24">
        <v>1400</v>
      </c>
      <c r="I186" s="24">
        <v>0</v>
      </c>
      <c r="J186" s="45">
        <f t="shared" si="22"/>
        <v>-1</v>
      </c>
      <c r="K186" s="24">
        <v>0</v>
      </c>
      <c r="L186" s="55"/>
      <c r="M186" s="24">
        <v>0</v>
      </c>
      <c r="N186" s="45"/>
    </row>
    <row r="187" spans="1:14" s="22" customFormat="1" x14ac:dyDescent="0.3">
      <c r="A187" s="145"/>
      <c r="B187" s="47"/>
      <c r="C187" s="47"/>
      <c r="D187" s="62" t="s">
        <v>149</v>
      </c>
      <c r="E187" s="62"/>
      <c r="F187" s="62"/>
      <c r="G187" s="50">
        <f>+G188</f>
        <v>0</v>
      </c>
      <c r="H187" s="50">
        <f>+H188</f>
        <v>2000</v>
      </c>
      <c r="I187" s="50">
        <f>+I188</f>
        <v>2100</v>
      </c>
      <c r="J187" s="51">
        <f t="shared" si="22"/>
        <v>5.0000000000000044E-2</v>
      </c>
      <c r="K187" s="50">
        <f>+K188</f>
        <v>2100</v>
      </c>
      <c r="L187" s="57">
        <f t="shared" ref="L187:L200" si="25">+K187/I187-1</f>
        <v>0</v>
      </c>
      <c r="M187" s="50">
        <f>+M188</f>
        <v>2200</v>
      </c>
      <c r="N187" s="57">
        <f t="shared" ref="N187:N200" si="26">+M187/K187-1</f>
        <v>4.7619047619047672E-2</v>
      </c>
    </row>
    <row r="188" spans="1:14" s="22" customFormat="1" x14ac:dyDescent="0.3">
      <c r="A188" s="89" t="s">
        <v>170</v>
      </c>
      <c r="B188" s="23"/>
      <c r="C188" s="23"/>
      <c r="D188" s="52"/>
      <c r="E188" s="23" t="s">
        <v>130</v>
      </c>
      <c r="F188" s="53" t="s">
        <v>145</v>
      </c>
      <c r="G188" s="25">
        <v>0</v>
      </c>
      <c r="H188" s="24">
        <v>2000</v>
      </c>
      <c r="I188" s="24">
        <v>2100</v>
      </c>
      <c r="J188" s="45">
        <f t="shared" si="22"/>
        <v>5.0000000000000044E-2</v>
      </c>
      <c r="K188" s="24">
        <v>2100</v>
      </c>
      <c r="L188" s="55">
        <f t="shared" si="25"/>
        <v>0</v>
      </c>
      <c r="M188" s="24">
        <v>2200</v>
      </c>
      <c r="N188" s="45">
        <f t="shared" si="26"/>
        <v>4.7619047619047672E-2</v>
      </c>
    </row>
    <row r="189" spans="1:14" s="22" customFormat="1" ht="15.75" customHeight="1" x14ac:dyDescent="0.3">
      <c r="A189" s="145"/>
      <c r="B189" s="47"/>
      <c r="C189" s="47"/>
      <c r="D189" s="62" t="s">
        <v>162</v>
      </c>
      <c r="E189" s="62"/>
      <c r="F189" s="62"/>
      <c r="G189" s="50">
        <f>+G190</f>
        <v>0</v>
      </c>
      <c r="H189" s="50">
        <f>+H190</f>
        <v>10000</v>
      </c>
      <c r="I189" s="50">
        <f>+I190</f>
        <v>10500</v>
      </c>
      <c r="J189" s="51">
        <f t="shared" si="22"/>
        <v>5.0000000000000044E-2</v>
      </c>
      <c r="K189" s="50">
        <f>+K190</f>
        <v>11000</v>
      </c>
      <c r="L189" s="57">
        <f t="shared" si="25"/>
        <v>4.7619047619047672E-2</v>
      </c>
      <c r="M189" s="50">
        <f>+M190</f>
        <v>11000</v>
      </c>
      <c r="N189" s="57">
        <f t="shared" si="26"/>
        <v>0</v>
      </c>
    </row>
    <row r="190" spans="1:14" s="22" customFormat="1" x14ac:dyDescent="0.3">
      <c r="A190" s="91" t="s">
        <v>174</v>
      </c>
      <c r="B190" s="23"/>
      <c r="C190" s="23"/>
      <c r="D190" s="52"/>
      <c r="E190" s="23" t="s">
        <v>132</v>
      </c>
      <c r="F190" s="53" t="s">
        <v>143</v>
      </c>
      <c r="G190" s="25">
        <v>0</v>
      </c>
      <c r="H190" s="24">
        <v>10000</v>
      </c>
      <c r="I190" s="24">
        <v>10500</v>
      </c>
      <c r="J190" s="45">
        <f t="shared" si="22"/>
        <v>5.0000000000000044E-2</v>
      </c>
      <c r="K190" s="24">
        <v>11000</v>
      </c>
      <c r="L190" s="55">
        <f t="shared" si="25"/>
        <v>4.7619047619047672E-2</v>
      </c>
      <c r="M190" s="24">
        <v>11000</v>
      </c>
      <c r="N190" s="45">
        <f t="shared" si="26"/>
        <v>0</v>
      </c>
    </row>
    <row r="191" spans="1:14" s="22" customFormat="1" x14ac:dyDescent="0.3">
      <c r="A191" s="144"/>
      <c r="B191" s="47"/>
      <c r="C191" s="47"/>
      <c r="D191" s="47" t="s">
        <v>103</v>
      </c>
      <c r="E191" s="47"/>
      <c r="F191" s="46"/>
      <c r="G191" s="50">
        <f>+G192</f>
        <v>10000</v>
      </c>
      <c r="H191" s="50">
        <f>+H192</f>
        <v>50000</v>
      </c>
      <c r="I191" s="50">
        <f>+I192</f>
        <v>90000</v>
      </c>
      <c r="J191" s="51">
        <f t="shared" si="22"/>
        <v>0.8</v>
      </c>
      <c r="K191" s="50">
        <f>+K192</f>
        <v>90000</v>
      </c>
      <c r="L191" s="57">
        <f t="shared" si="25"/>
        <v>0</v>
      </c>
      <c r="M191" s="50">
        <f>+M192</f>
        <v>55000</v>
      </c>
      <c r="N191" s="57">
        <f t="shared" si="26"/>
        <v>-0.38888888888888884</v>
      </c>
    </row>
    <row r="192" spans="1:14" s="22" customFormat="1" x14ac:dyDescent="0.3">
      <c r="A192" s="89" t="s">
        <v>170</v>
      </c>
      <c r="B192" s="23"/>
      <c r="C192" s="23"/>
      <c r="D192" s="52"/>
      <c r="E192" s="23" t="s">
        <v>130</v>
      </c>
      <c r="F192" s="53" t="s">
        <v>145</v>
      </c>
      <c r="G192" s="182">
        <v>10000</v>
      </c>
      <c r="H192" s="24">
        <v>50000</v>
      </c>
      <c r="I192" s="24">
        <v>90000</v>
      </c>
      <c r="J192" s="45">
        <f t="shared" si="22"/>
        <v>0.8</v>
      </c>
      <c r="K192" s="24">
        <v>90000</v>
      </c>
      <c r="L192" s="55">
        <f t="shared" si="25"/>
        <v>0</v>
      </c>
      <c r="M192" s="24">
        <v>55000</v>
      </c>
      <c r="N192" s="45">
        <f t="shared" si="26"/>
        <v>-0.38888888888888884</v>
      </c>
    </row>
    <row r="193" spans="1:16" s="22" customFormat="1" x14ac:dyDescent="0.3">
      <c r="A193" s="145"/>
      <c r="B193" s="47"/>
      <c r="C193" s="47"/>
      <c r="D193" s="62" t="s">
        <v>104</v>
      </c>
      <c r="E193" s="62"/>
      <c r="F193" s="62"/>
      <c r="G193" s="50">
        <f>+G194</f>
        <v>6227.2099999999991</v>
      </c>
      <c r="H193" s="50">
        <f>+H194</f>
        <v>10000</v>
      </c>
      <c r="I193" s="50">
        <f>+I194</f>
        <v>10500</v>
      </c>
      <c r="J193" s="51">
        <f t="shared" si="22"/>
        <v>5.0000000000000044E-2</v>
      </c>
      <c r="K193" s="50">
        <f>+K194</f>
        <v>10500</v>
      </c>
      <c r="L193" s="57">
        <f t="shared" si="25"/>
        <v>0</v>
      </c>
      <c r="M193" s="50">
        <f>+M194</f>
        <v>11000</v>
      </c>
      <c r="N193" s="57">
        <f t="shared" si="26"/>
        <v>4.7619047619047672E-2</v>
      </c>
    </row>
    <row r="194" spans="1:16" s="22" customFormat="1" x14ac:dyDescent="0.3">
      <c r="A194" s="91" t="s">
        <v>174</v>
      </c>
      <c r="B194" s="23"/>
      <c r="C194" s="23"/>
      <c r="D194" s="52"/>
      <c r="E194" s="23" t="s">
        <v>132</v>
      </c>
      <c r="F194" s="53" t="s">
        <v>143</v>
      </c>
      <c r="G194" s="76">
        <v>6227.2099999999991</v>
      </c>
      <c r="H194" s="24">
        <v>10000</v>
      </c>
      <c r="I194" s="24">
        <v>10500</v>
      </c>
      <c r="J194" s="45">
        <f t="shared" si="22"/>
        <v>5.0000000000000044E-2</v>
      </c>
      <c r="K194" s="24">
        <v>10500</v>
      </c>
      <c r="L194" s="55">
        <f t="shared" si="25"/>
        <v>0</v>
      </c>
      <c r="M194" s="24">
        <v>11000</v>
      </c>
      <c r="N194" s="45">
        <f t="shared" si="26"/>
        <v>4.7619047619047672E-2</v>
      </c>
    </row>
    <row r="195" spans="1:16" x14ac:dyDescent="0.3">
      <c r="A195" s="143"/>
      <c r="B195" s="42"/>
      <c r="C195" s="42" t="s">
        <v>105</v>
      </c>
      <c r="D195" s="42"/>
      <c r="E195" s="42"/>
      <c r="F195" s="42"/>
      <c r="G195" s="58">
        <f>+G196+G198</f>
        <v>3300</v>
      </c>
      <c r="H195" s="58">
        <f>+H196+H198</f>
        <v>10000</v>
      </c>
      <c r="I195" s="58">
        <f>+I196+I198</f>
        <v>45000</v>
      </c>
      <c r="J195" s="45">
        <f t="shared" si="22"/>
        <v>3.5</v>
      </c>
      <c r="K195" s="58">
        <f>+K196+K198</f>
        <v>25000</v>
      </c>
      <c r="L195" s="55">
        <f t="shared" si="25"/>
        <v>-0.44444444444444442</v>
      </c>
      <c r="M195" s="58">
        <f>+M196+M198</f>
        <v>25000</v>
      </c>
      <c r="N195" s="45">
        <f t="shared" si="26"/>
        <v>0</v>
      </c>
    </row>
    <row r="196" spans="1:16" s="64" customFormat="1" x14ac:dyDescent="0.3">
      <c r="A196" s="145"/>
      <c r="B196" s="47"/>
      <c r="C196" s="47"/>
      <c r="D196" s="47" t="s">
        <v>247</v>
      </c>
      <c r="E196" s="47"/>
      <c r="F196" s="46"/>
      <c r="G196" s="71">
        <f t="shared" ref="G195:I198" si="27">+G197</f>
        <v>3300</v>
      </c>
      <c r="H196" s="71">
        <f>+H197</f>
        <v>10000</v>
      </c>
      <c r="I196" s="71">
        <f t="shared" si="27"/>
        <v>25000</v>
      </c>
      <c r="J196" s="51">
        <f t="shared" si="22"/>
        <v>1.5</v>
      </c>
      <c r="K196" s="71">
        <f>+K197</f>
        <v>25000</v>
      </c>
      <c r="L196" s="57">
        <f t="shared" si="25"/>
        <v>0</v>
      </c>
      <c r="M196" s="71">
        <f>+M197</f>
        <v>25000</v>
      </c>
      <c r="N196" s="57">
        <f t="shared" si="26"/>
        <v>0</v>
      </c>
      <c r="O196" s="67"/>
      <c r="P196" s="67"/>
    </row>
    <row r="197" spans="1:16" x14ac:dyDescent="0.3">
      <c r="A197" s="89" t="s">
        <v>170</v>
      </c>
      <c r="B197" s="63"/>
      <c r="C197" s="63"/>
      <c r="D197" s="77"/>
      <c r="E197" s="23" t="s">
        <v>132</v>
      </c>
      <c r="F197" s="53" t="s">
        <v>143</v>
      </c>
      <c r="G197" s="25">
        <v>3300</v>
      </c>
      <c r="H197" s="24">
        <v>10000</v>
      </c>
      <c r="I197" s="24">
        <v>25000</v>
      </c>
      <c r="J197" s="45">
        <f t="shared" si="22"/>
        <v>1.5</v>
      </c>
      <c r="K197" s="24">
        <v>25000</v>
      </c>
      <c r="L197" s="55">
        <f t="shared" si="25"/>
        <v>0</v>
      </c>
      <c r="M197" s="24">
        <v>25000</v>
      </c>
      <c r="N197" s="45">
        <f t="shared" si="26"/>
        <v>0</v>
      </c>
    </row>
    <row r="198" spans="1:16" x14ac:dyDescent="0.3">
      <c r="A198" s="145"/>
      <c r="B198" s="47"/>
      <c r="C198" s="47"/>
      <c r="D198" s="47" t="s">
        <v>268</v>
      </c>
      <c r="E198" s="47"/>
      <c r="F198" s="46"/>
      <c r="G198" s="71">
        <f t="shared" si="27"/>
        <v>0</v>
      </c>
      <c r="H198" s="71">
        <f>+H199</f>
        <v>0</v>
      </c>
      <c r="I198" s="71">
        <f t="shared" si="27"/>
        <v>20000</v>
      </c>
      <c r="J198" s="51"/>
      <c r="K198" s="71">
        <f>+K199</f>
        <v>0</v>
      </c>
      <c r="L198" s="57">
        <f t="shared" ref="L198:L199" si="28">+K198/I198-1</f>
        <v>-1</v>
      </c>
      <c r="M198" s="71">
        <f>+M199</f>
        <v>0</v>
      </c>
      <c r="N198" s="57"/>
    </row>
    <row r="199" spans="1:16" x14ac:dyDescent="0.3">
      <c r="A199" s="91" t="s">
        <v>170</v>
      </c>
      <c r="B199" s="63"/>
      <c r="C199" s="63"/>
      <c r="D199" s="77"/>
      <c r="E199" s="216" t="s">
        <v>130</v>
      </c>
      <c r="F199" s="53" t="s">
        <v>145</v>
      </c>
      <c r="G199" s="25">
        <v>0</v>
      </c>
      <c r="H199" s="24">
        <v>0</v>
      </c>
      <c r="I199" s="24">
        <v>20000</v>
      </c>
      <c r="J199" s="45"/>
      <c r="K199" s="24">
        <v>0</v>
      </c>
      <c r="L199" s="55">
        <f t="shared" si="28"/>
        <v>-1</v>
      </c>
      <c r="M199" s="24">
        <v>0</v>
      </c>
      <c r="N199" s="45"/>
    </row>
    <row r="200" spans="1:16" x14ac:dyDescent="0.3">
      <c r="A200" s="143"/>
      <c r="B200" s="42"/>
      <c r="C200" s="42" t="s">
        <v>106</v>
      </c>
      <c r="D200" s="42"/>
      <c r="E200" s="42"/>
      <c r="F200" s="42"/>
      <c r="G200" s="24">
        <f>+G201+G203</f>
        <v>23907.4</v>
      </c>
      <c r="H200" s="24">
        <f>+H201+H203</f>
        <v>36500</v>
      </c>
      <c r="I200" s="24">
        <f>+I201+I203</f>
        <v>61500</v>
      </c>
      <c r="J200" s="45">
        <f t="shared" si="22"/>
        <v>0.68493150684931514</v>
      </c>
      <c r="K200" s="24">
        <f>+K201+K203</f>
        <v>61500</v>
      </c>
      <c r="L200" s="55">
        <f t="shared" si="25"/>
        <v>0</v>
      </c>
      <c r="M200" s="24">
        <f>+M201+M203</f>
        <v>63000</v>
      </c>
      <c r="N200" s="45">
        <f t="shared" si="26"/>
        <v>2.4390243902439046E-2</v>
      </c>
    </row>
    <row r="201" spans="1:16" x14ac:dyDescent="0.3">
      <c r="A201" s="145"/>
      <c r="B201" s="47"/>
      <c r="C201" s="47"/>
      <c r="D201" s="47" t="s">
        <v>107</v>
      </c>
      <c r="E201" s="47"/>
      <c r="F201" s="46"/>
      <c r="G201" s="78">
        <f>+G202</f>
        <v>13907.4</v>
      </c>
      <c r="H201" s="71">
        <f>+H202</f>
        <v>6500</v>
      </c>
      <c r="I201" s="78">
        <f>+I202</f>
        <v>30000</v>
      </c>
      <c r="J201" s="51">
        <f t="shared" si="22"/>
        <v>3.615384615384615</v>
      </c>
      <c r="K201" s="78">
        <f>+K202</f>
        <v>30000</v>
      </c>
      <c r="L201" s="57">
        <f t="shared" ref="L201:L215" si="29">+K201/I201-1</f>
        <v>0</v>
      </c>
      <c r="M201" s="78">
        <f>+M202</f>
        <v>30000</v>
      </c>
      <c r="N201" s="57">
        <f t="shared" ref="N201:N215" si="30">+M201/K201-1</f>
        <v>0</v>
      </c>
    </row>
    <row r="202" spans="1:16" x14ac:dyDescent="0.3">
      <c r="A202" s="91" t="s">
        <v>174</v>
      </c>
      <c r="D202" s="52"/>
      <c r="E202" s="23" t="s">
        <v>132</v>
      </c>
      <c r="F202" s="53" t="s">
        <v>143</v>
      </c>
      <c r="G202" s="76">
        <v>13907.4</v>
      </c>
      <c r="H202" s="24">
        <v>6500</v>
      </c>
      <c r="I202" s="24">
        <v>30000</v>
      </c>
      <c r="J202" s="45">
        <f t="shared" si="22"/>
        <v>3.615384615384615</v>
      </c>
      <c r="K202" s="24">
        <v>30000</v>
      </c>
      <c r="L202" s="55">
        <f t="shared" si="29"/>
        <v>0</v>
      </c>
      <c r="M202" s="24">
        <v>30000</v>
      </c>
      <c r="N202" s="45">
        <f t="shared" si="30"/>
        <v>0</v>
      </c>
    </row>
    <row r="203" spans="1:16" x14ac:dyDescent="0.3">
      <c r="A203" s="145"/>
      <c r="B203" s="47"/>
      <c r="C203" s="47"/>
      <c r="D203" s="47" t="s">
        <v>108</v>
      </c>
      <c r="E203" s="47"/>
      <c r="F203" s="46"/>
      <c r="G203" s="78">
        <f>+G204</f>
        <v>10000</v>
      </c>
      <c r="H203" s="78">
        <f>+H204</f>
        <v>30000</v>
      </c>
      <c r="I203" s="78">
        <f>+I204</f>
        <v>31500</v>
      </c>
      <c r="J203" s="51">
        <f t="shared" ref="J203:J230" si="31">+I203/H203-1</f>
        <v>5.0000000000000044E-2</v>
      </c>
      <c r="K203" s="78">
        <f>+K204</f>
        <v>31500</v>
      </c>
      <c r="L203" s="57">
        <f t="shared" si="29"/>
        <v>0</v>
      </c>
      <c r="M203" s="78">
        <f>+M204</f>
        <v>33000</v>
      </c>
      <c r="N203" s="57">
        <f t="shared" si="30"/>
        <v>4.7619047619047672E-2</v>
      </c>
    </row>
    <row r="204" spans="1:16" x14ac:dyDescent="0.3">
      <c r="A204" s="91" t="s">
        <v>174</v>
      </c>
      <c r="D204" s="52"/>
      <c r="E204" s="23" t="s">
        <v>132</v>
      </c>
      <c r="F204" s="53" t="s">
        <v>143</v>
      </c>
      <c r="G204" s="180">
        <v>10000</v>
      </c>
      <c r="H204" s="58">
        <v>30000</v>
      </c>
      <c r="I204" s="24">
        <v>31500</v>
      </c>
      <c r="J204" s="45">
        <f t="shared" si="31"/>
        <v>5.0000000000000044E-2</v>
      </c>
      <c r="K204" s="24">
        <v>31500</v>
      </c>
      <c r="L204" s="55">
        <f t="shared" si="29"/>
        <v>0</v>
      </c>
      <c r="M204" s="24">
        <v>33000</v>
      </c>
      <c r="N204" s="45">
        <f t="shared" si="30"/>
        <v>4.7619047619047672E-2</v>
      </c>
    </row>
    <row r="205" spans="1:16" x14ac:dyDescent="0.3">
      <c r="A205" s="143"/>
      <c r="B205" s="42"/>
      <c r="C205" s="42" t="s">
        <v>110</v>
      </c>
      <c r="D205" s="42"/>
      <c r="E205" s="42"/>
      <c r="F205" s="42"/>
      <c r="G205" s="24">
        <f>+G206+G208+G210+G212+G214+G216</f>
        <v>185049.83000000002</v>
      </c>
      <c r="H205" s="24">
        <f>+H206+H208+H210+H212+H214+H216</f>
        <v>403000</v>
      </c>
      <c r="I205" s="24">
        <f>+I206+I208+I210+I212+I214+I216</f>
        <v>384650</v>
      </c>
      <c r="J205" s="45">
        <f t="shared" si="31"/>
        <v>-4.5533498759305235E-2</v>
      </c>
      <c r="K205" s="24">
        <f>+K206+K208+K210+K212+K214+K216</f>
        <v>389700</v>
      </c>
      <c r="L205" s="55">
        <f t="shared" si="29"/>
        <v>1.312881840634339E-2</v>
      </c>
      <c r="M205" s="24">
        <f>+M206+M208+M210+M212+M214+M216</f>
        <v>413300</v>
      </c>
      <c r="N205" s="45">
        <f t="shared" si="30"/>
        <v>6.0559404670259109E-2</v>
      </c>
    </row>
    <row r="206" spans="1:16" x14ac:dyDescent="0.3">
      <c r="A206" s="145"/>
      <c r="B206" s="47"/>
      <c r="C206" s="47"/>
      <c r="D206" s="47" t="s">
        <v>111</v>
      </c>
      <c r="E206" s="47"/>
      <c r="F206" s="46"/>
      <c r="G206" s="61">
        <f>+G207</f>
        <v>66083.540000000008</v>
      </c>
      <c r="H206" s="78">
        <f>+H207</f>
        <v>100000</v>
      </c>
      <c r="I206" s="61">
        <f>+I207</f>
        <v>75000</v>
      </c>
      <c r="J206" s="51">
        <f t="shared" si="31"/>
        <v>-0.25</v>
      </c>
      <c r="K206" s="61">
        <f>+K207</f>
        <v>75000</v>
      </c>
      <c r="L206" s="57">
        <f t="shared" si="29"/>
        <v>0</v>
      </c>
      <c r="M206" s="61">
        <f>+M207</f>
        <v>80000</v>
      </c>
      <c r="N206" s="57">
        <f t="shared" si="30"/>
        <v>6.6666666666666652E-2</v>
      </c>
    </row>
    <row r="207" spans="1:16" x14ac:dyDescent="0.3">
      <c r="A207" s="89" t="s">
        <v>170</v>
      </c>
      <c r="D207" s="52"/>
      <c r="E207" s="23" t="s">
        <v>136</v>
      </c>
      <c r="F207" s="53" t="s">
        <v>142</v>
      </c>
      <c r="G207" s="76">
        <v>66083.540000000008</v>
      </c>
      <c r="H207" s="24">
        <v>100000</v>
      </c>
      <c r="I207" s="24">
        <v>75000</v>
      </c>
      <c r="J207" s="45">
        <f t="shared" si="31"/>
        <v>-0.25</v>
      </c>
      <c r="K207" s="24">
        <v>75000</v>
      </c>
      <c r="L207" s="55">
        <f t="shared" si="29"/>
        <v>0</v>
      </c>
      <c r="M207" s="24">
        <v>80000</v>
      </c>
      <c r="N207" s="45">
        <f t="shared" si="30"/>
        <v>6.6666666666666652E-2</v>
      </c>
    </row>
    <row r="208" spans="1:16" x14ac:dyDescent="0.3">
      <c r="A208" s="145"/>
      <c r="B208" s="47"/>
      <c r="C208" s="47"/>
      <c r="D208" s="47" t="s">
        <v>112</v>
      </c>
      <c r="E208" s="47"/>
      <c r="F208" s="46"/>
      <c r="G208" s="61">
        <f>+G209</f>
        <v>14065.95</v>
      </c>
      <c r="H208" s="61">
        <f>+H209</f>
        <v>27000</v>
      </c>
      <c r="I208" s="61">
        <f>+I209</f>
        <v>28350</v>
      </c>
      <c r="J208" s="51">
        <f t="shared" si="31"/>
        <v>5.0000000000000044E-2</v>
      </c>
      <c r="K208" s="61">
        <f>+K209</f>
        <v>28350</v>
      </c>
      <c r="L208" s="57">
        <f t="shared" si="29"/>
        <v>0</v>
      </c>
      <c r="M208" s="61">
        <f>+M209</f>
        <v>29700</v>
      </c>
      <c r="N208" s="57">
        <f t="shared" si="30"/>
        <v>4.7619047619047672E-2</v>
      </c>
    </row>
    <row r="209" spans="1:14" x14ac:dyDescent="0.3">
      <c r="A209" s="91" t="s">
        <v>174</v>
      </c>
      <c r="D209" s="52"/>
      <c r="E209" s="23" t="s">
        <v>132</v>
      </c>
      <c r="F209" s="53" t="s">
        <v>143</v>
      </c>
      <c r="G209" s="76">
        <v>14065.95</v>
      </c>
      <c r="H209" s="24">
        <v>27000</v>
      </c>
      <c r="I209" s="24">
        <v>28350</v>
      </c>
      <c r="J209" s="45">
        <f t="shared" si="31"/>
        <v>5.0000000000000044E-2</v>
      </c>
      <c r="K209" s="24">
        <v>28350</v>
      </c>
      <c r="L209" s="55">
        <f t="shared" si="29"/>
        <v>0</v>
      </c>
      <c r="M209" s="24">
        <v>29700</v>
      </c>
      <c r="N209" s="45">
        <f t="shared" si="30"/>
        <v>4.7619047619047672E-2</v>
      </c>
    </row>
    <row r="210" spans="1:14" x14ac:dyDescent="0.3">
      <c r="A210" s="145"/>
      <c r="B210" s="47"/>
      <c r="C210" s="47"/>
      <c r="D210" s="47" t="s">
        <v>113</v>
      </c>
      <c r="E210" s="47"/>
      <c r="F210" s="46"/>
      <c r="G210" s="61">
        <f>+G211</f>
        <v>3737.17</v>
      </c>
      <c r="H210" s="61">
        <f>+H211</f>
        <v>5000</v>
      </c>
      <c r="I210" s="61">
        <f>+I211</f>
        <v>5250</v>
      </c>
      <c r="J210" s="51">
        <f t="shared" si="31"/>
        <v>5.0000000000000044E-2</v>
      </c>
      <c r="K210" s="61">
        <f>+K211</f>
        <v>5250</v>
      </c>
      <c r="L210" s="57">
        <f t="shared" si="29"/>
        <v>0</v>
      </c>
      <c r="M210" s="61">
        <f>+M211</f>
        <v>5500</v>
      </c>
      <c r="N210" s="57">
        <f t="shared" si="30"/>
        <v>4.7619047619047672E-2</v>
      </c>
    </row>
    <row r="211" spans="1:14" s="22" customFormat="1" x14ac:dyDescent="0.3">
      <c r="A211" s="89" t="s">
        <v>170</v>
      </c>
      <c r="B211" s="23"/>
      <c r="C211" s="23"/>
      <c r="D211" s="52"/>
      <c r="E211" s="23" t="s">
        <v>136</v>
      </c>
      <c r="F211" s="53" t="s">
        <v>142</v>
      </c>
      <c r="G211" s="76">
        <v>3737.17</v>
      </c>
      <c r="H211" s="24">
        <v>5000</v>
      </c>
      <c r="I211" s="24">
        <v>5250</v>
      </c>
      <c r="J211" s="45">
        <f t="shared" si="31"/>
        <v>5.0000000000000044E-2</v>
      </c>
      <c r="K211" s="24">
        <v>5250</v>
      </c>
      <c r="L211" s="55">
        <f t="shared" si="29"/>
        <v>0</v>
      </c>
      <c r="M211" s="24">
        <v>5500</v>
      </c>
      <c r="N211" s="45">
        <f t="shared" si="30"/>
        <v>4.7619047619047672E-2</v>
      </c>
    </row>
    <row r="212" spans="1:14" s="22" customFormat="1" x14ac:dyDescent="0.3">
      <c r="A212" s="145"/>
      <c r="B212" s="47"/>
      <c r="C212" s="47"/>
      <c r="D212" s="47" t="s">
        <v>242</v>
      </c>
      <c r="E212" s="47"/>
      <c r="F212" s="46"/>
      <c r="G212" s="61">
        <f>+G213</f>
        <v>2013.17</v>
      </c>
      <c r="H212" s="61">
        <f>+H213</f>
        <v>100000</v>
      </c>
      <c r="I212" s="61">
        <f>+I213</f>
        <v>105000</v>
      </c>
      <c r="J212" s="51">
        <f t="shared" si="31"/>
        <v>5.0000000000000044E-2</v>
      </c>
      <c r="K212" s="61">
        <f>+K213</f>
        <v>105000</v>
      </c>
      <c r="L212" s="57">
        <f t="shared" si="29"/>
        <v>0</v>
      </c>
      <c r="M212" s="61">
        <f>+M213</f>
        <v>110000</v>
      </c>
      <c r="N212" s="57">
        <f t="shared" si="30"/>
        <v>4.7619047619047672E-2</v>
      </c>
    </row>
    <row r="213" spans="1:14" s="22" customFormat="1" x14ac:dyDescent="0.3">
      <c r="A213" s="89" t="s">
        <v>170</v>
      </c>
      <c r="B213" s="23"/>
      <c r="C213" s="23"/>
      <c r="D213" s="52"/>
      <c r="E213" s="23" t="s">
        <v>130</v>
      </c>
      <c r="F213" s="53" t="s">
        <v>145</v>
      </c>
      <c r="G213" s="76">
        <v>2013.17</v>
      </c>
      <c r="H213" s="24">
        <v>100000</v>
      </c>
      <c r="I213" s="24">
        <v>105000</v>
      </c>
      <c r="J213" s="45">
        <f t="shared" si="31"/>
        <v>5.0000000000000044E-2</v>
      </c>
      <c r="K213" s="24">
        <v>105000</v>
      </c>
      <c r="L213" s="55">
        <f t="shared" si="29"/>
        <v>0</v>
      </c>
      <c r="M213" s="24">
        <v>110000</v>
      </c>
      <c r="N213" s="45">
        <f t="shared" si="30"/>
        <v>4.7619047619047672E-2</v>
      </c>
    </row>
    <row r="214" spans="1:14" s="22" customFormat="1" x14ac:dyDescent="0.3">
      <c r="A214" s="145"/>
      <c r="B214" s="47"/>
      <c r="C214" s="47"/>
      <c r="D214" s="47" t="s">
        <v>114</v>
      </c>
      <c r="E214" s="47"/>
      <c r="F214" s="46"/>
      <c r="G214" s="61">
        <f>+G215</f>
        <v>99150</v>
      </c>
      <c r="H214" s="61">
        <f>+H215</f>
        <v>170000</v>
      </c>
      <c r="I214" s="61">
        <f>+I215</f>
        <v>170000</v>
      </c>
      <c r="J214" s="51">
        <f t="shared" si="31"/>
        <v>0</v>
      </c>
      <c r="K214" s="61">
        <f>+K215</f>
        <v>175000</v>
      </c>
      <c r="L214" s="57">
        <f t="shared" si="29"/>
        <v>2.9411764705882248E-2</v>
      </c>
      <c r="M214" s="61">
        <f>+M215</f>
        <v>187000</v>
      </c>
      <c r="N214" s="57">
        <f t="shared" si="30"/>
        <v>6.8571428571428505E-2</v>
      </c>
    </row>
    <row r="215" spans="1:14" s="22" customFormat="1" x14ac:dyDescent="0.3">
      <c r="A215" s="91" t="s">
        <v>174</v>
      </c>
      <c r="B215" s="23"/>
      <c r="C215" s="23"/>
      <c r="D215" s="52"/>
      <c r="E215" s="23" t="s">
        <v>132</v>
      </c>
      <c r="F215" s="53" t="s">
        <v>143</v>
      </c>
      <c r="G215" s="76">
        <v>99150</v>
      </c>
      <c r="H215" s="24">
        <v>170000</v>
      </c>
      <c r="I215" s="24">
        <v>170000</v>
      </c>
      <c r="J215" s="45">
        <f t="shared" si="31"/>
        <v>0</v>
      </c>
      <c r="K215" s="24">
        <v>175000</v>
      </c>
      <c r="L215" s="55">
        <f t="shared" si="29"/>
        <v>2.9411764705882248E-2</v>
      </c>
      <c r="M215" s="24">
        <v>187000</v>
      </c>
      <c r="N215" s="45">
        <f t="shared" si="30"/>
        <v>6.8571428571428505E-2</v>
      </c>
    </row>
    <row r="216" spans="1:14" s="22" customFormat="1" x14ac:dyDescent="0.3">
      <c r="A216" s="145"/>
      <c r="B216" s="47"/>
      <c r="C216" s="47"/>
      <c r="D216" s="47" t="s">
        <v>115</v>
      </c>
      <c r="E216" s="47"/>
      <c r="F216" s="46"/>
      <c r="G216" s="61">
        <f>+G217</f>
        <v>0</v>
      </c>
      <c r="H216" s="61">
        <f>+H217</f>
        <v>1000</v>
      </c>
      <c r="I216" s="61">
        <f>+I217</f>
        <v>1050</v>
      </c>
      <c r="J216" s="51">
        <f t="shared" si="31"/>
        <v>5.0000000000000044E-2</v>
      </c>
      <c r="K216" s="61">
        <f>+K217</f>
        <v>1100</v>
      </c>
      <c r="L216" s="57">
        <f t="shared" ref="L216:L230" si="32">+K216/I216-1</f>
        <v>4.7619047619047672E-2</v>
      </c>
      <c r="M216" s="61">
        <f>+M217</f>
        <v>1100</v>
      </c>
      <c r="N216" s="57">
        <f t="shared" ref="N216:N230" si="33">+M216/K216-1</f>
        <v>0</v>
      </c>
    </row>
    <row r="217" spans="1:14" s="22" customFormat="1" x14ac:dyDescent="0.3">
      <c r="A217" s="91" t="s">
        <v>174</v>
      </c>
      <c r="B217" s="23"/>
      <c r="C217" s="23"/>
      <c r="D217" s="52"/>
      <c r="E217" s="23" t="s">
        <v>132</v>
      </c>
      <c r="F217" s="53" t="s">
        <v>143</v>
      </c>
      <c r="G217" s="25">
        <v>0</v>
      </c>
      <c r="H217" s="24">
        <v>1000</v>
      </c>
      <c r="I217" s="24">
        <v>1050</v>
      </c>
      <c r="J217" s="45">
        <f t="shared" si="31"/>
        <v>5.0000000000000044E-2</v>
      </c>
      <c r="K217" s="24">
        <v>1100</v>
      </c>
      <c r="L217" s="55">
        <f t="shared" si="32"/>
        <v>4.7619047619047672E-2</v>
      </c>
      <c r="M217" s="24">
        <v>1100</v>
      </c>
      <c r="N217" s="45">
        <f t="shared" si="33"/>
        <v>0</v>
      </c>
    </row>
    <row r="218" spans="1:14" s="22" customFormat="1" x14ac:dyDescent="0.3">
      <c r="A218" s="143"/>
      <c r="B218" s="42"/>
      <c r="C218" s="42" t="s">
        <v>117</v>
      </c>
      <c r="D218" s="42"/>
      <c r="E218" s="42"/>
      <c r="F218" s="42"/>
      <c r="G218" s="24">
        <f>+G219+G221+G223+G225+G227+G229+G231</f>
        <v>51357.25</v>
      </c>
      <c r="H218" s="24">
        <f>+H219+H221+H223+H225+H227+H229+H231</f>
        <v>87500</v>
      </c>
      <c r="I218" s="24">
        <f>+I219+I221+I223+I225+I227+I229+I231</f>
        <v>140875</v>
      </c>
      <c r="J218" s="45">
        <f t="shared" si="31"/>
        <v>0.6100000000000001</v>
      </c>
      <c r="K218" s="24">
        <f>+K219+K221+K223+K225+K227+K229+K231</f>
        <v>142350</v>
      </c>
      <c r="L218" s="55">
        <f t="shared" si="32"/>
        <v>1.0470275066548407E-2</v>
      </c>
      <c r="M218" s="24">
        <f>+M219+M221+M223+M225+M227+M229+M231</f>
        <v>146250</v>
      </c>
      <c r="N218" s="45">
        <f t="shared" si="33"/>
        <v>2.7397260273972712E-2</v>
      </c>
    </row>
    <row r="219" spans="1:14" s="22" customFormat="1" x14ac:dyDescent="0.3">
      <c r="A219" s="145"/>
      <c r="B219" s="47"/>
      <c r="C219" s="47"/>
      <c r="D219" s="59" t="s">
        <v>243</v>
      </c>
      <c r="E219" s="59"/>
      <c r="F219" s="60"/>
      <c r="G219" s="61">
        <f>+G220</f>
        <v>4700</v>
      </c>
      <c r="H219" s="61">
        <f>+H220</f>
        <v>5000</v>
      </c>
      <c r="I219" s="61">
        <f>+I220</f>
        <v>5250</v>
      </c>
      <c r="J219" s="51">
        <f t="shared" si="31"/>
        <v>5.0000000000000044E-2</v>
      </c>
      <c r="K219" s="61">
        <f>+K220</f>
        <v>5250</v>
      </c>
      <c r="L219" s="57">
        <f t="shared" si="32"/>
        <v>0</v>
      </c>
      <c r="M219" s="61">
        <f>+M220</f>
        <v>5500</v>
      </c>
      <c r="N219" s="57">
        <f t="shared" si="33"/>
        <v>4.7619047619047672E-2</v>
      </c>
    </row>
    <row r="220" spans="1:14" s="22" customFormat="1" x14ac:dyDescent="0.3">
      <c r="A220" s="91" t="s">
        <v>174</v>
      </c>
      <c r="B220" s="42"/>
      <c r="C220" s="42"/>
      <c r="D220" s="52"/>
      <c r="E220" s="23" t="s">
        <v>132</v>
      </c>
      <c r="F220" s="53" t="s">
        <v>143</v>
      </c>
      <c r="G220" s="183">
        <v>4700</v>
      </c>
      <c r="H220" s="24">
        <v>5000</v>
      </c>
      <c r="I220" s="24">
        <v>5250</v>
      </c>
      <c r="J220" s="45">
        <f t="shared" si="31"/>
        <v>5.0000000000000044E-2</v>
      </c>
      <c r="K220" s="24">
        <v>5250</v>
      </c>
      <c r="L220" s="55">
        <f t="shared" si="32"/>
        <v>0</v>
      </c>
      <c r="M220" s="24">
        <v>5500</v>
      </c>
      <c r="N220" s="45">
        <f t="shared" si="33"/>
        <v>4.7619047619047672E-2</v>
      </c>
    </row>
    <row r="221" spans="1:14" s="22" customFormat="1" x14ac:dyDescent="0.3">
      <c r="A221" s="145"/>
      <c r="B221" s="47"/>
      <c r="C221" s="47"/>
      <c r="D221" s="59" t="s">
        <v>118</v>
      </c>
      <c r="E221" s="59"/>
      <c r="F221" s="60"/>
      <c r="G221" s="61">
        <f>+G222</f>
        <v>0</v>
      </c>
      <c r="H221" s="61">
        <f>+H222</f>
        <v>1000</v>
      </c>
      <c r="I221" s="61">
        <f>+I222</f>
        <v>1050</v>
      </c>
      <c r="J221" s="51">
        <f t="shared" si="31"/>
        <v>5.0000000000000044E-2</v>
      </c>
      <c r="K221" s="61">
        <f>+K222</f>
        <v>1100</v>
      </c>
      <c r="L221" s="57">
        <f t="shared" si="32"/>
        <v>4.7619047619047672E-2</v>
      </c>
      <c r="M221" s="61">
        <f>+M222</f>
        <v>1100</v>
      </c>
      <c r="N221" s="57">
        <f t="shared" si="33"/>
        <v>0</v>
      </c>
    </row>
    <row r="222" spans="1:14" s="22" customFormat="1" x14ac:dyDescent="0.3">
      <c r="A222" s="91" t="s">
        <v>174</v>
      </c>
      <c r="B222" s="23"/>
      <c r="C222" s="23"/>
      <c r="D222" s="52"/>
      <c r="E222" s="23" t="s">
        <v>132</v>
      </c>
      <c r="F222" s="53" t="s">
        <v>143</v>
      </c>
      <c r="G222" s="25">
        <v>0</v>
      </c>
      <c r="H222" s="24">
        <v>1000</v>
      </c>
      <c r="I222" s="24">
        <v>1050</v>
      </c>
      <c r="J222" s="45">
        <f t="shared" si="31"/>
        <v>5.0000000000000044E-2</v>
      </c>
      <c r="K222" s="24">
        <v>1100</v>
      </c>
      <c r="L222" s="55">
        <f t="shared" si="32"/>
        <v>4.7619047619047672E-2</v>
      </c>
      <c r="M222" s="24">
        <v>1100</v>
      </c>
      <c r="N222" s="45">
        <f t="shared" si="33"/>
        <v>0</v>
      </c>
    </row>
    <row r="223" spans="1:14" x14ac:dyDescent="0.3">
      <c r="A223" s="144"/>
      <c r="B223" s="47"/>
      <c r="C223" s="47"/>
      <c r="D223" s="47" t="s">
        <v>119</v>
      </c>
      <c r="E223" s="47"/>
      <c r="F223" s="46"/>
      <c r="G223" s="61">
        <f>+G224</f>
        <v>13000</v>
      </c>
      <c r="H223" s="61">
        <f>+H224</f>
        <v>15000</v>
      </c>
      <c r="I223" s="61">
        <f>+I224</f>
        <v>15750</v>
      </c>
      <c r="J223" s="51">
        <f t="shared" si="31"/>
        <v>5.0000000000000044E-2</v>
      </c>
      <c r="K223" s="61">
        <f>+K224</f>
        <v>16000</v>
      </c>
      <c r="L223" s="57">
        <f t="shared" si="32"/>
        <v>1.5873015873015817E-2</v>
      </c>
      <c r="M223" s="61">
        <f>+M224</f>
        <v>16500</v>
      </c>
      <c r="N223" s="57">
        <f t="shared" si="33"/>
        <v>3.125E-2</v>
      </c>
    </row>
    <row r="224" spans="1:14" x14ac:dyDescent="0.3">
      <c r="A224" s="89" t="s">
        <v>170</v>
      </c>
      <c r="D224" s="52"/>
      <c r="E224" s="23" t="s">
        <v>136</v>
      </c>
      <c r="F224" s="53" t="s">
        <v>142</v>
      </c>
      <c r="G224" s="180">
        <v>13000</v>
      </c>
      <c r="H224" s="24">
        <v>15000</v>
      </c>
      <c r="I224" s="24">
        <v>15750</v>
      </c>
      <c r="J224" s="45">
        <f t="shared" si="31"/>
        <v>5.0000000000000044E-2</v>
      </c>
      <c r="K224" s="24">
        <v>16000</v>
      </c>
      <c r="L224" s="55">
        <f t="shared" si="32"/>
        <v>1.5873015873015817E-2</v>
      </c>
      <c r="M224" s="24">
        <v>16500</v>
      </c>
      <c r="N224" s="45">
        <f t="shared" si="33"/>
        <v>3.125E-2</v>
      </c>
    </row>
    <row r="225" spans="1:16" x14ac:dyDescent="0.3">
      <c r="A225" s="145"/>
      <c r="B225" s="47"/>
      <c r="C225" s="47"/>
      <c r="D225" s="59" t="s">
        <v>120</v>
      </c>
      <c r="E225" s="59"/>
      <c r="F225" s="60"/>
      <c r="G225" s="61">
        <f>+G226</f>
        <v>15654.039999999999</v>
      </c>
      <c r="H225" s="61">
        <f>+H226</f>
        <v>26500</v>
      </c>
      <c r="I225" s="61">
        <f>+I226</f>
        <v>27825</v>
      </c>
      <c r="J225" s="51">
        <f t="shared" si="31"/>
        <v>5.0000000000000044E-2</v>
      </c>
      <c r="K225" s="61">
        <f>+K226</f>
        <v>28000</v>
      </c>
      <c r="L225" s="57">
        <f t="shared" si="32"/>
        <v>6.2893081761006275E-3</v>
      </c>
      <c r="M225" s="61">
        <f>+M226</f>
        <v>29150</v>
      </c>
      <c r="N225" s="57">
        <f t="shared" si="33"/>
        <v>4.1071428571428648E-2</v>
      </c>
    </row>
    <row r="226" spans="1:16" x14ac:dyDescent="0.3">
      <c r="A226" s="89" t="s">
        <v>170</v>
      </c>
      <c r="D226" s="52"/>
      <c r="E226" s="23" t="s">
        <v>136</v>
      </c>
      <c r="F226" s="53" t="s">
        <v>142</v>
      </c>
      <c r="G226" s="76">
        <v>15654.039999999999</v>
      </c>
      <c r="H226" s="24">
        <v>26500</v>
      </c>
      <c r="I226" s="24">
        <v>27825</v>
      </c>
      <c r="J226" s="45">
        <f t="shared" si="31"/>
        <v>5.0000000000000044E-2</v>
      </c>
      <c r="K226" s="24">
        <v>28000</v>
      </c>
      <c r="L226" s="55">
        <f t="shared" si="32"/>
        <v>6.2893081761006275E-3</v>
      </c>
      <c r="M226" s="24">
        <v>29150</v>
      </c>
      <c r="N226" s="45">
        <f t="shared" si="33"/>
        <v>4.1071428571428648E-2</v>
      </c>
    </row>
    <row r="227" spans="1:16" x14ac:dyDescent="0.3">
      <c r="A227" s="145"/>
      <c r="B227" s="47"/>
      <c r="C227" s="47"/>
      <c r="D227" s="59" t="s">
        <v>234</v>
      </c>
      <c r="E227" s="59"/>
      <c r="F227" s="60"/>
      <c r="G227" s="61">
        <f>+G228</f>
        <v>18003.21</v>
      </c>
      <c r="H227" s="61">
        <f>+H228</f>
        <v>20000</v>
      </c>
      <c r="I227" s="61">
        <f>+I228</f>
        <v>21000</v>
      </c>
      <c r="J227" s="51">
        <f t="shared" si="31"/>
        <v>5.0000000000000044E-2</v>
      </c>
      <c r="K227" s="61">
        <f>+K228</f>
        <v>21000</v>
      </c>
      <c r="L227" s="57">
        <f t="shared" si="32"/>
        <v>0</v>
      </c>
      <c r="M227" s="61">
        <f>+M228</f>
        <v>22000</v>
      </c>
      <c r="N227" s="57">
        <f t="shared" si="33"/>
        <v>4.7619047619047672E-2</v>
      </c>
    </row>
    <row r="228" spans="1:16" x14ac:dyDescent="0.3">
      <c r="A228" s="91" t="s">
        <v>174</v>
      </c>
      <c r="D228" s="52"/>
      <c r="E228" s="23" t="s">
        <v>133</v>
      </c>
      <c r="F228" s="66" t="s">
        <v>140</v>
      </c>
      <c r="G228" s="76">
        <v>18003.21</v>
      </c>
      <c r="H228" s="24">
        <v>20000</v>
      </c>
      <c r="I228" s="24">
        <v>21000</v>
      </c>
      <c r="J228" s="45">
        <f t="shared" si="31"/>
        <v>5.0000000000000044E-2</v>
      </c>
      <c r="K228" s="24">
        <v>21000</v>
      </c>
      <c r="L228" s="55">
        <f t="shared" si="32"/>
        <v>0</v>
      </c>
      <c r="M228" s="24">
        <v>22000</v>
      </c>
      <c r="N228" s="45">
        <f t="shared" si="33"/>
        <v>4.7619047619047672E-2</v>
      </c>
    </row>
    <row r="229" spans="1:16" x14ac:dyDescent="0.3">
      <c r="A229" s="145"/>
      <c r="B229" s="47"/>
      <c r="C229" s="47"/>
      <c r="D229" s="59" t="s">
        <v>121</v>
      </c>
      <c r="E229" s="59"/>
      <c r="F229" s="60"/>
      <c r="G229" s="61">
        <f>+G230</f>
        <v>0</v>
      </c>
      <c r="H229" s="61">
        <f>+H230</f>
        <v>20000</v>
      </c>
      <c r="I229" s="61">
        <f>+I230</f>
        <v>20000</v>
      </c>
      <c r="J229" s="51">
        <f t="shared" si="31"/>
        <v>0</v>
      </c>
      <c r="K229" s="61">
        <f>+K230</f>
        <v>21000</v>
      </c>
      <c r="L229" s="57">
        <f t="shared" si="32"/>
        <v>5.0000000000000044E-2</v>
      </c>
      <c r="M229" s="61">
        <f>+M230</f>
        <v>22000</v>
      </c>
      <c r="N229" s="57">
        <f t="shared" si="33"/>
        <v>4.7619047619047672E-2</v>
      </c>
    </row>
    <row r="230" spans="1:16" x14ac:dyDescent="0.3">
      <c r="A230" s="91" t="s">
        <v>174</v>
      </c>
      <c r="D230" s="52"/>
      <c r="E230" s="23" t="s">
        <v>132</v>
      </c>
      <c r="F230" s="53" t="s">
        <v>143</v>
      </c>
      <c r="G230" s="25">
        <v>0</v>
      </c>
      <c r="H230" s="24">
        <v>20000</v>
      </c>
      <c r="I230" s="24">
        <v>20000</v>
      </c>
      <c r="J230" s="45">
        <f t="shared" si="31"/>
        <v>0</v>
      </c>
      <c r="K230" s="24">
        <v>21000</v>
      </c>
      <c r="L230" s="55">
        <f t="shared" si="32"/>
        <v>5.0000000000000044E-2</v>
      </c>
      <c r="M230" s="24">
        <v>22000</v>
      </c>
      <c r="N230" s="45">
        <f t="shared" si="33"/>
        <v>4.7619047619047672E-2</v>
      </c>
    </row>
    <row r="231" spans="1:16" x14ac:dyDescent="0.3">
      <c r="A231" s="145"/>
      <c r="B231" s="47"/>
      <c r="C231" s="47"/>
      <c r="D231" s="59" t="s">
        <v>267</v>
      </c>
      <c r="E231" s="59"/>
      <c r="F231" s="60"/>
      <c r="G231" s="61">
        <f>+G232</f>
        <v>0</v>
      </c>
      <c r="H231" s="61">
        <f>+H232</f>
        <v>0</v>
      </c>
      <c r="I231" s="61">
        <f>+I232</f>
        <v>50000</v>
      </c>
      <c r="J231" s="51"/>
      <c r="K231" s="61">
        <f>+K232</f>
        <v>50000</v>
      </c>
      <c r="L231" s="57">
        <f t="shared" ref="L231:L232" si="34">+K231/I231-1</f>
        <v>0</v>
      </c>
      <c r="M231" s="61">
        <f>+M232</f>
        <v>50000</v>
      </c>
      <c r="N231" s="57">
        <f t="shared" ref="N231:N232" si="35">+M231/K231-1</f>
        <v>0</v>
      </c>
    </row>
    <row r="232" spans="1:16" ht="28.8" x14ac:dyDescent="0.3">
      <c r="A232" s="89" t="s">
        <v>171</v>
      </c>
      <c r="D232" s="52"/>
      <c r="E232" s="23" t="s">
        <v>132</v>
      </c>
      <c r="F232" s="53" t="s">
        <v>143</v>
      </c>
      <c r="G232" s="25">
        <v>0</v>
      </c>
      <c r="H232" s="24">
        <v>0</v>
      </c>
      <c r="I232" s="24">
        <v>50000</v>
      </c>
      <c r="J232" s="45"/>
      <c r="K232" s="24">
        <v>50000</v>
      </c>
      <c r="L232" s="55">
        <f t="shared" si="34"/>
        <v>0</v>
      </c>
      <c r="M232" s="24">
        <v>50000</v>
      </c>
      <c r="N232" s="45">
        <f t="shared" si="35"/>
        <v>0</v>
      </c>
    </row>
    <row r="233" spans="1:16" x14ac:dyDescent="0.3">
      <c r="A233" s="91"/>
      <c r="C233" s="42" t="s">
        <v>244</v>
      </c>
      <c r="D233" s="42"/>
      <c r="E233" s="42"/>
      <c r="F233" s="42"/>
      <c r="G233" s="24">
        <f>+G234</f>
        <v>0</v>
      </c>
      <c r="H233" s="24">
        <f>+H234</f>
        <v>0</v>
      </c>
      <c r="I233" s="24">
        <f>+I234+I236+I238+I240+I242+I244</f>
        <v>50000</v>
      </c>
      <c r="J233" s="45"/>
      <c r="K233" s="24">
        <f>+K234+K236+K238+K240+K242+K244</f>
        <v>50000</v>
      </c>
      <c r="L233" s="55">
        <f t="shared" ref="L233:L235" si="36">+K233/I233-1</f>
        <v>0</v>
      </c>
      <c r="M233" s="24">
        <f>+M234+M236+M238+M240+M242+M244</f>
        <v>50000</v>
      </c>
      <c r="N233" s="45">
        <f t="shared" ref="N233:N235" si="37">+M233/K233-1</f>
        <v>0</v>
      </c>
    </row>
    <row r="234" spans="1:16" x14ac:dyDescent="0.3">
      <c r="A234" s="145"/>
      <c r="B234" s="47"/>
      <c r="C234" s="47"/>
      <c r="D234" s="59" t="s">
        <v>245</v>
      </c>
      <c r="E234" s="59"/>
      <c r="F234" s="60"/>
      <c r="G234" s="61">
        <f>+G235</f>
        <v>0</v>
      </c>
      <c r="H234" s="61">
        <f>+H235</f>
        <v>0</v>
      </c>
      <c r="I234" s="61">
        <f>+I235</f>
        <v>50000</v>
      </c>
      <c r="J234" s="51"/>
      <c r="K234" s="61">
        <f>+K235</f>
        <v>50000</v>
      </c>
      <c r="L234" s="57">
        <f t="shared" si="36"/>
        <v>0</v>
      </c>
      <c r="M234" s="61">
        <f>+M235</f>
        <v>50000</v>
      </c>
      <c r="N234" s="57">
        <f t="shared" si="37"/>
        <v>0</v>
      </c>
    </row>
    <row r="235" spans="1:16" x14ac:dyDescent="0.3">
      <c r="A235" s="91" t="s">
        <v>174</v>
      </c>
      <c r="D235" s="52"/>
      <c r="E235" s="23" t="s">
        <v>133</v>
      </c>
      <c r="F235" s="66" t="s">
        <v>140</v>
      </c>
      <c r="G235" s="25">
        <v>0</v>
      </c>
      <c r="H235" s="16">
        <v>0</v>
      </c>
      <c r="I235" s="24">
        <v>50000</v>
      </c>
      <c r="J235" s="45"/>
      <c r="K235" s="24">
        <v>50000</v>
      </c>
      <c r="L235" s="55">
        <f t="shared" si="36"/>
        <v>0</v>
      </c>
      <c r="M235" s="24">
        <v>50000</v>
      </c>
      <c r="N235" s="45">
        <f t="shared" si="37"/>
        <v>0</v>
      </c>
    </row>
    <row r="236" spans="1:16" x14ac:dyDescent="0.3">
      <c r="A236" s="91"/>
      <c r="D236" s="52"/>
      <c r="F236" s="53"/>
      <c r="I236" s="24"/>
      <c r="J236" s="45"/>
      <c r="K236" s="24"/>
      <c r="L236" s="55"/>
      <c r="M236" s="24"/>
      <c r="N236" s="45"/>
    </row>
    <row r="237" spans="1:16" x14ac:dyDescent="0.3">
      <c r="A237" s="147"/>
      <c r="B237" s="79"/>
      <c r="C237" s="79"/>
      <c r="D237" s="79"/>
      <c r="E237" s="79"/>
      <c r="F237" s="80" t="s">
        <v>122</v>
      </c>
      <c r="G237" s="81">
        <f>+G15+G20</f>
        <v>1835669.26</v>
      </c>
      <c r="H237" s="81">
        <f>+H15+H20</f>
        <v>3691100</v>
      </c>
      <c r="I237" s="81">
        <f>+I15+I20</f>
        <v>3734335</v>
      </c>
      <c r="J237" s="82">
        <f>+I237/H237-1</f>
        <v>1.1713310395275123E-2</v>
      </c>
      <c r="K237" s="81">
        <f>+K15+K20</f>
        <v>3892303</v>
      </c>
      <c r="L237" s="83">
        <f t="shared" ref="L237:N237" si="38">+K237/I237-1</f>
        <v>4.2301507497318758E-2</v>
      </c>
      <c r="M237" s="81">
        <f>+M15+M20</f>
        <v>3760650</v>
      </c>
      <c r="N237" s="83">
        <f t="shared" si="38"/>
        <v>-3.3823934056521288E-2</v>
      </c>
    </row>
    <row r="238" spans="1:16" x14ac:dyDescent="0.3">
      <c r="J238" s="84" t="s">
        <v>123</v>
      </c>
      <c r="L238" s="86"/>
      <c r="N238" s="22"/>
      <c r="P238"/>
    </row>
    <row r="239" spans="1:16" x14ac:dyDescent="0.3">
      <c r="A239" s="177" t="s">
        <v>227</v>
      </c>
      <c r="B239" s="177"/>
      <c r="C239" s="177"/>
      <c r="D239" s="177"/>
      <c r="E239" s="177"/>
      <c r="F239" s="177"/>
      <c r="G239" s="177"/>
      <c r="H239" s="184"/>
      <c r="I239" s="184"/>
      <c r="J239" s="184"/>
      <c r="K239" s="177"/>
      <c r="L239" s="177"/>
      <c r="M239" s="177"/>
      <c r="N239" s="177"/>
      <c r="P239"/>
    </row>
    <row r="240" spans="1:16" x14ac:dyDescent="0.3">
      <c r="A240"/>
      <c r="B240"/>
      <c r="C240"/>
      <c r="D240"/>
      <c r="E240"/>
      <c r="G240"/>
      <c r="I240" s="16"/>
      <c r="J240" s="84"/>
      <c r="L240" s="86"/>
      <c r="N240" s="22"/>
      <c r="P240"/>
    </row>
    <row r="241" spans="1:16" x14ac:dyDescent="0.3">
      <c r="A241" s="178" t="s">
        <v>246</v>
      </c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P241"/>
    </row>
    <row r="242" spans="1:16" x14ac:dyDescent="0.3">
      <c r="A242"/>
      <c r="B242"/>
      <c r="C242"/>
      <c r="D242"/>
      <c r="E242"/>
      <c r="G242"/>
      <c r="J242" s="185"/>
      <c r="L242" s="86"/>
      <c r="N242" s="22"/>
      <c r="P242"/>
    </row>
    <row r="243" spans="1:16" s="24" customFormat="1" x14ac:dyDescent="0.3">
      <c r="A243"/>
      <c r="B243"/>
      <c r="C243"/>
      <c r="D243"/>
      <c r="E243"/>
      <c r="F243"/>
      <c r="G243"/>
      <c r="H243" s="16"/>
      <c r="I243" s="16"/>
      <c r="J243" s="185"/>
      <c r="K243" s="16"/>
      <c r="L243" s="86"/>
      <c r="M243" s="16"/>
      <c r="N243" s="22"/>
      <c r="O243" s="22"/>
    </row>
    <row r="244" spans="1:16" x14ac:dyDescent="0.3">
      <c r="A244" s="177" t="s">
        <v>229</v>
      </c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</row>
    <row r="245" spans="1:16" x14ac:dyDescent="0.3">
      <c r="A245"/>
      <c r="B245"/>
      <c r="C245"/>
      <c r="D245"/>
      <c r="E245"/>
      <c r="G245"/>
    </row>
    <row r="246" spans="1:16" x14ac:dyDescent="0.3">
      <c r="A246" s="178"/>
      <c r="B246" s="178"/>
      <c r="C246" s="178"/>
      <c r="D246" s="178"/>
      <c r="E246" s="178"/>
      <c r="F246" s="178"/>
      <c r="G246" s="178"/>
      <c r="H246" s="178"/>
      <c r="I246" s="178"/>
      <c r="J246" s="178"/>
      <c r="K246" s="178"/>
      <c r="L246" s="178"/>
      <c r="M246" s="178"/>
      <c r="N246" s="178"/>
    </row>
    <row r="247" spans="1:16" x14ac:dyDescent="0.3">
      <c r="A247"/>
      <c r="B247"/>
      <c r="C247"/>
      <c r="D247"/>
      <c r="E247"/>
      <c r="G247"/>
    </row>
    <row r="248" spans="1:16" x14ac:dyDescent="0.3">
      <c r="A248"/>
      <c r="B248"/>
      <c r="C248"/>
      <c r="D248"/>
      <c r="E248"/>
      <c r="G248"/>
    </row>
    <row r="249" spans="1:16" x14ac:dyDescent="0.3">
      <c r="A249"/>
      <c r="B249"/>
      <c r="C249"/>
      <c r="D249"/>
      <c r="E249"/>
      <c r="M249" s="213"/>
      <c r="N249" s="214"/>
    </row>
    <row r="250" spans="1:16" x14ac:dyDescent="0.3">
      <c r="A250" s="174"/>
      <c r="B250" s="174"/>
      <c r="C250"/>
      <c r="D250"/>
      <c r="E250"/>
      <c r="M250" s="213"/>
      <c r="N250" s="214"/>
    </row>
    <row r="251" spans="1:16" x14ac:dyDescent="0.3">
      <c r="A251" s="174"/>
      <c r="B251" s="174"/>
      <c r="C251"/>
      <c r="D251"/>
      <c r="E251"/>
    </row>
    <row r="252" spans="1:16" x14ac:dyDescent="0.3">
      <c r="A252" s="174"/>
      <c r="B252" s="174"/>
      <c r="C252"/>
      <c r="D252"/>
      <c r="E252"/>
      <c r="M252" s="213"/>
      <c r="N252" s="214"/>
    </row>
  </sheetData>
  <autoFilter ref="A11:N237" xr:uid="{D893F2A1-0001-4FE8-97CF-188E0B3C01E9}"/>
  <mergeCells count="8">
    <mergeCell ref="M249:N249"/>
    <mergeCell ref="M250:N250"/>
    <mergeCell ref="M252:N252"/>
    <mergeCell ref="A2:N2"/>
    <mergeCell ref="A4:N4"/>
    <mergeCell ref="A7:N7"/>
    <mergeCell ref="A3:B3"/>
    <mergeCell ref="A5:B5"/>
  </mergeCells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Ekonomska klasifikacija i izvor</vt:lpstr>
      <vt:lpstr>Programska klasifikacija</vt:lpstr>
      <vt:lpstr>Račun financiranja</vt:lpstr>
      <vt:lpstr>Funkcijska klasifikacija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Romac</dc:creator>
  <cp:lastModifiedBy>Juraj Romac</cp:lastModifiedBy>
  <dcterms:created xsi:type="dcterms:W3CDTF">2024-11-12T20:18:44Z</dcterms:created>
  <dcterms:modified xsi:type="dcterms:W3CDTF">2025-11-11T13:20:04Z</dcterms:modified>
</cp:coreProperties>
</file>